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hepublicserviceconsultants.sharepoint.com/sites/CompanyReference/Capability Building/CB materials (live)/Courses/FEP/FEP Excel/"/>
    </mc:Choice>
  </mc:AlternateContent>
  <xr:revisionPtr revIDLastSave="45" documentId="8_{87584C92-3B3D-4F8B-AEDD-087FEC5D33E1}" xr6:coauthVersionLast="47" xr6:coauthVersionMax="47" xr10:uidLastSave="{EBDC6A14-7FE6-4C9B-971E-99CC7B614634}"/>
  <bookViews>
    <workbookView xWindow="14940" yWindow="-16320" windowWidth="29040" windowHeight="15720" tabRatio="905" xr2:uid="{00000000-000D-0000-FFFF-FFFF00000000}"/>
  </bookViews>
  <sheets>
    <sheet name="1.2 Formatting" sheetId="10" r:id="rId1"/>
    <sheet name="1.2 Formatting - Solution" sheetId="9" state="hidden" r:id="rId2"/>
    <sheet name="1.3 Functions" sheetId="13" r:id="rId3"/>
    <sheet name="1.3 Functions - Solution" sheetId="12" state="hidden" r:id="rId4"/>
    <sheet name="1.4 Adv functions" sheetId="25" r:id="rId5"/>
    <sheet name="3.1 Travel times" sheetId="14" r:id="rId6"/>
    <sheet name="3.2 Advanced travel times" sheetId="18" r:id="rId7"/>
    <sheet name="3.2 Advance travel times - SOL" sheetId="23" state="hidden" r:id="rId8"/>
    <sheet name="3.1 Travel times - Solution" sheetId="26" state="hidden" r:id="rId9"/>
    <sheet name="4. QA &amp; Generating insights" sheetId="17" r:id="rId10"/>
    <sheet name="4. QA - Solution" sheetId="22" state="hidden" r:id="rId11"/>
    <sheet name="1.4 Adv functions - Solution" sheetId="21" state="hidden" r:id="rId12"/>
  </sheets>
  <definedNames>
    <definedName name="_xlnm._FilterDatabase" localSheetId="0" hidden="1">'1.2 Formatting'!$C$22:$I$22</definedName>
    <definedName name="_xlnm._FilterDatabase" localSheetId="1" hidden="1">'1.2 Formatting - Solution'!$A$22:$M$22</definedName>
    <definedName name="_xlnm._FilterDatabase" localSheetId="2" hidden="1">'1.3 Functions'!$A$22:$M$22</definedName>
    <definedName name="_xlnm._FilterDatabase" localSheetId="3" hidden="1">'1.3 Functions - Solution'!$A$22:$M$22</definedName>
    <definedName name="_xlnm._FilterDatabase" localSheetId="5" hidden="1">'3.1 Travel times'!$A$19:$M$19</definedName>
    <definedName name="_xlnm._FilterDatabase" localSheetId="8" hidden="1">'3.1 Travel times - Solution'!$A$19:$M$19</definedName>
    <definedName name="_xlnm._FilterDatabase" localSheetId="7" hidden="1">'3.2 Advance travel times - SOL'!$C$20:$Q$20</definedName>
    <definedName name="_xlnm._FilterDatabase" localSheetId="6" hidden="1">'3.2 Advanced travel times'!$C$24:$P$24</definedName>
    <definedName name="_xlnm._FilterDatabase" localSheetId="10" hidden="1">'4. QA - Solution'!$C$29:$Q$29</definedName>
    <definedName name="_xlnm._FilterDatabase" localSheetId="9" hidden="1">'4. QA &amp; Generating insights'!$C$29:$Q$29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26" l="1"/>
  <c r="K33" i="26" s="1"/>
  <c r="I33" i="26"/>
  <c r="J32" i="26"/>
  <c r="K32" i="26" s="1"/>
  <c r="I32" i="26"/>
  <c r="J31" i="26"/>
  <c r="K31" i="26" s="1"/>
  <c r="I31" i="26"/>
  <c r="J30" i="26"/>
  <c r="K30" i="26" s="1"/>
  <c r="I30" i="26"/>
  <c r="J29" i="26"/>
  <c r="K29" i="26" s="1"/>
  <c r="I29" i="26"/>
  <c r="J28" i="26"/>
  <c r="K28" i="26" s="1"/>
  <c r="I28" i="26"/>
  <c r="J27" i="26"/>
  <c r="K27" i="26" s="1"/>
  <c r="I27" i="26"/>
  <c r="J26" i="26"/>
  <c r="K26" i="26" s="1"/>
  <c r="I26" i="26"/>
  <c r="J25" i="26"/>
  <c r="K25" i="26" s="1"/>
  <c r="I25" i="26"/>
  <c r="J24" i="26"/>
  <c r="K24" i="26" s="1"/>
  <c r="I24" i="26"/>
  <c r="J23" i="26"/>
  <c r="K23" i="26" s="1"/>
  <c r="I23" i="26"/>
  <c r="J22" i="26"/>
  <c r="K22" i="26" s="1"/>
  <c r="I22" i="26"/>
  <c r="J21" i="26"/>
  <c r="K21" i="26" s="1"/>
  <c r="D13" i="26" s="1"/>
  <c r="I21" i="26"/>
  <c r="J20" i="26"/>
  <c r="K20" i="26" s="1"/>
  <c r="I20" i="26"/>
  <c r="I1" i="26"/>
  <c r="H1" i="26"/>
  <c r="G1" i="26"/>
  <c r="C1" i="26"/>
  <c r="L171" i="25"/>
  <c r="K171" i="25"/>
  <c r="J171" i="25"/>
  <c r="I171" i="25"/>
  <c r="H171" i="25"/>
  <c r="G171" i="25"/>
  <c r="F171" i="25"/>
  <c r="E159" i="25" a="1"/>
  <c r="E159" i="25" s="1"/>
  <c r="H153" i="25"/>
  <c r="H152" i="25"/>
  <c r="H151" i="25"/>
  <c r="H150" i="25"/>
  <c r="D123" i="25"/>
  <c r="D122" i="25"/>
  <c r="D121" i="25"/>
  <c r="D119" i="25"/>
  <c r="D118" i="25"/>
  <c r="D117" i="25"/>
  <c r="D110" i="25"/>
  <c r="D109" i="25"/>
  <c r="D108" i="25"/>
  <c r="D106" i="25"/>
  <c r="D104" i="25"/>
  <c r="I1" i="25"/>
  <c r="H1" i="25"/>
  <c r="C1" i="25"/>
  <c r="D117" i="21"/>
  <c r="D118" i="21"/>
  <c r="D119" i="21"/>
  <c r="D121" i="21"/>
  <c r="D123" i="21"/>
  <c r="D122" i="21"/>
  <c r="D104" i="21"/>
  <c r="G171" i="21"/>
  <c r="H171" i="21"/>
  <c r="I171" i="21"/>
  <c r="J171" i="21"/>
  <c r="K171" i="21"/>
  <c r="L171" i="21"/>
  <c r="F171" i="21"/>
  <c r="E159" i="21" a="1"/>
  <c r="E159" i="21" s="1"/>
  <c r="H152" i="21"/>
  <c r="H153" i="21"/>
  <c r="H151" i="21"/>
  <c r="H150" i="21"/>
  <c r="G20" i="17"/>
  <c r="G19" i="17"/>
  <c r="G24" i="17"/>
  <c r="P34" i="23"/>
  <c r="N34" i="23"/>
  <c r="L34" i="23"/>
  <c r="J34" i="23"/>
  <c r="I34" i="23"/>
  <c r="P33" i="23"/>
  <c r="N33" i="23"/>
  <c r="L33" i="23"/>
  <c r="J33" i="23"/>
  <c r="I33" i="23"/>
  <c r="P32" i="23"/>
  <c r="N32" i="23"/>
  <c r="L32" i="23"/>
  <c r="J32" i="23"/>
  <c r="I32" i="23"/>
  <c r="P31" i="23"/>
  <c r="N31" i="23"/>
  <c r="L31" i="23"/>
  <c r="J31" i="23"/>
  <c r="I31" i="23"/>
  <c r="P30" i="23"/>
  <c r="N30" i="23"/>
  <c r="L30" i="23"/>
  <c r="J30" i="23"/>
  <c r="I30" i="23"/>
  <c r="P29" i="23"/>
  <c r="N29" i="23"/>
  <c r="L29" i="23"/>
  <c r="J29" i="23"/>
  <c r="I29" i="23"/>
  <c r="P28" i="23"/>
  <c r="N28" i="23"/>
  <c r="L28" i="23"/>
  <c r="J28" i="23"/>
  <c r="I28" i="23"/>
  <c r="P27" i="23"/>
  <c r="N27" i="23"/>
  <c r="L27" i="23"/>
  <c r="J27" i="23"/>
  <c r="I27" i="23"/>
  <c r="P26" i="23"/>
  <c r="N26" i="23"/>
  <c r="L26" i="23"/>
  <c r="J26" i="23"/>
  <c r="I26" i="23"/>
  <c r="P25" i="23"/>
  <c r="N25" i="23"/>
  <c r="L25" i="23"/>
  <c r="J25" i="23"/>
  <c r="I25" i="23"/>
  <c r="P24" i="23"/>
  <c r="N24" i="23"/>
  <c r="L24" i="23"/>
  <c r="J24" i="23"/>
  <c r="I24" i="23"/>
  <c r="P23" i="23"/>
  <c r="N23" i="23"/>
  <c r="L23" i="23"/>
  <c r="J23" i="23"/>
  <c r="I23" i="23"/>
  <c r="K23" i="23" s="1"/>
  <c r="P22" i="23"/>
  <c r="N22" i="23"/>
  <c r="L22" i="23"/>
  <c r="J22" i="23"/>
  <c r="I22" i="23"/>
  <c r="P21" i="23"/>
  <c r="N21" i="23"/>
  <c r="L21" i="23"/>
  <c r="J21" i="23"/>
  <c r="I21" i="23"/>
  <c r="I1" i="23"/>
  <c r="H1" i="23"/>
  <c r="G1" i="23"/>
  <c r="C1" i="23"/>
  <c r="F19" i="22"/>
  <c r="G24" i="22"/>
  <c r="G19" i="22"/>
  <c r="P43" i="22"/>
  <c r="Q43" i="22" s="1"/>
  <c r="N43" i="22"/>
  <c r="O43" i="22" s="1"/>
  <c r="L43" i="22"/>
  <c r="J43" i="22"/>
  <c r="K43" i="22" s="1"/>
  <c r="I43" i="22"/>
  <c r="M43" i="22" s="1"/>
  <c r="P42" i="22"/>
  <c r="Q42" i="22" s="1"/>
  <c r="N42" i="22"/>
  <c r="O42" i="22" s="1"/>
  <c r="L42" i="22"/>
  <c r="M42" i="22" s="1"/>
  <c r="J42" i="22"/>
  <c r="K42" i="22" s="1"/>
  <c r="I42" i="22"/>
  <c r="P41" i="22"/>
  <c r="Q41" i="22" s="1"/>
  <c r="N41" i="22"/>
  <c r="O41" i="22" s="1"/>
  <c r="L41" i="22"/>
  <c r="M41" i="22" s="1"/>
  <c r="J41" i="22"/>
  <c r="K41" i="22" s="1"/>
  <c r="I41" i="22"/>
  <c r="P40" i="22"/>
  <c r="Q40" i="22" s="1"/>
  <c r="N40" i="22"/>
  <c r="O40" i="22" s="1"/>
  <c r="L40" i="22"/>
  <c r="M40" i="22" s="1"/>
  <c r="J40" i="22"/>
  <c r="K40" i="22" s="1"/>
  <c r="I40" i="22"/>
  <c r="P39" i="22"/>
  <c r="Q39" i="22" s="1"/>
  <c r="N39" i="22"/>
  <c r="O39" i="22" s="1"/>
  <c r="L39" i="22"/>
  <c r="M39" i="22" s="1"/>
  <c r="J39" i="22"/>
  <c r="K39" i="22" s="1"/>
  <c r="I39" i="22"/>
  <c r="P38" i="22"/>
  <c r="Q38" i="22" s="1"/>
  <c r="N38" i="22"/>
  <c r="O38" i="22" s="1"/>
  <c r="L38" i="22"/>
  <c r="M38" i="22" s="1"/>
  <c r="J38" i="22"/>
  <c r="K38" i="22" s="1"/>
  <c r="I38" i="22"/>
  <c r="P37" i="22"/>
  <c r="Q37" i="22" s="1"/>
  <c r="N37" i="22"/>
  <c r="O37" i="22" s="1"/>
  <c r="L37" i="22"/>
  <c r="M37" i="22" s="1"/>
  <c r="J37" i="22"/>
  <c r="K37" i="22" s="1"/>
  <c r="I37" i="22"/>
  <c r="P36" i="22"/>
  <c r="Q36" i="22" s="1"/>
  <c r="N36" i="22"/>
  <c r="O36" i="22" s="1"/>
  <c r="L36" i="22"/>
  <c r="M36" i="22" s="1"/>
  <c r="J36" i="22"/>
  <c r="K36" i="22" s="1"/>
  <c r="I36" i="22"/>
  <c r="P35" i="22"/>
  <c r="Q35" i="22" s="1"/>
  <c r="N35" i="22"/>
  <c r="O35" i="22" s="1"/>
  <c r="L35" i="22"/>
  <c r="M35" i="22" s="1"/>
  <c r="J35" i="22"/>
  <c r="K35" i="22" s="1"/>
  <c r="I35" i="22"/>
  <c r="P34" i="22"/>
  <c r="Q34" i="22" s="1"/>
  <c r="N34" i="22"/>
  <c r="O34" i="22" s="1"/>
  <c r="L34" i="22"/>
  <c r="M34" i="22" s="1"/>
  <c r="J34" i="22"/>
  <c r="K34" i="22" s="1"/>
  <c r="I34" i="22"/>
  <c r="P33" i="22"/>
  <c r="Q33" i="22" s="1"/>
  <c r="N33" i="22"/>
  <c r="O33" i="22" s="1"/>
  <c r="L33" i="22"/>
  <c r="M33" i="22" s="1"/>
  <c r="J33" i="22"/>
  <c r="K33" i="22" s="1"/>
  <c r="I33" i="22"/>
  <c r="P32" i="22"/>
  <c r="Q32" i="22" s="1"/>
  <c r="N32" i="22"/>
  <c r="O32" i="22" s="1"/>
  <c r="L32" i="22"/>
  <c r="M32" i="22" s="1"/>
  <c r="J32" i="22"/>
  <c r="K32" i="22" s="1"/>
  <c r="I32" i="22"/>
  <c r="P31" i="22"/>
  <c r="Q31" i="22" s="1"/>
  <c r="N31" i="22"/>
  <c r="O31" i="22" s="1"/>
  <c r="L31" i="22"/>
  <c r="M31" i="22" s="1"/>
  <c r="J31" i="22"/>
  <c r="K31" i="22" s="1"/>
  <c r="I31" i="22"/>
  <c r="P30" i="22"/>
  <c r="Q30" i="22" s="1"/>
  <c r="N30" i="22"/>
  <c r="O30" i="22" s="1"/>
  <c r="L30" i="22"/>
  <c r="M30" i="22" s="1"/>
  <c r="J30" i="22"/>
  <c r="K30" i="22" s="1"/>
  <c r="I30" i="22"/>
  <c r="I1" i="22"/>
  <c r="H1" i="22"/>
  <c r="G1" i="22"/>
  <c r="C1" i="22"/>
  <c r="F19" i="17"/>
  <c r="E19" i="17"/>
  <c r="D19" i="17"/>
  <c r="G16" i="17"/>
  <c r="F16" i="17"/>
  <c r="E16" i="17"/>
  <c r="D16" i="17"/>
  <c r="D11" i="12"/>
  <c r="D110" i="21"/>
  <c r="D109" i="21"/>
  <c r="D108" i="21"/>
  <c r="D106" i="21"/>
  <c r="I1" i="21"/>
  <c r="H1" i="21"/>
  <c r="C1" i="21"/>
  <c r="I1" i="18"/>
  <c r="H1" i="18"/>
  <c r="G1" i="18"/>
  <c r="C1" i="18"/>
  <c r="D18" i="12"/>
  <c r="D15" i="12"/>
  <c r="D12" i="12"/>
  <c r="D16" i="12"/>
  <c r="D14" i="12"/>
  <c r="I41" i="17"/>
  <c r="I42" i="17"/>
  <c r="J42" i="17"/>
  <c r="L42" i="17"/>
  <c r="M42" i="17"/>
  <c r="N42" i="17"/>
  <c r="O42" i="17" s="1"/>
  <c r="P42" i="17"/>
  <c r="Q42" i="17" s="1"/>
  <c r="I38" i="17"/>
  <c r="J38" i="17"/>
  <c r="L38" i="17"/>
  <c r="N38" i="17"/>
  <c r="P38" i="17"/>
  <c r="J41" i="17"/>
  <c r="L41" i="17"/>
  <c r="N41" i="17"/>
  <c r="P41" i="17"/>
  <c r="I43" i="17"/>
  <c r="J43" i="17"/>
  <c r="L43" i="17"/>
  <c r="M43" i="17" s="1"/>
  <c r="N43" i="17"/>
  <c r="O43" i="17" s="1"/>
  <c r="P43" i="17"/>
  <c r="Q43" i="17" s="1"/>
  <c r="P31" i="17"/>
  <c r="P32" i="17"/>
  <c r="P33" i="17"/>
  <c r="P34" i="17"/>
  <c r="P35" i="17"/>
  <c r="P36" i="17"/>
  <c r="P37" i="17"/>
  <c r="P39" i="17"/>
  <c r="P40" i="17"/>
  <c r="P30" i="17"/>
  <c r="N31" i="17"/>
  <c r="N32" i="17"/>
  <c r="N33" i="17"/>
  <c r="N34" i="17"/>
  <c r="N35" i="17"/>
  <c r="N36" i="17"/>
  <c r="N37" i="17"/>
  <c r="N39" i="17"/>
  <c r="N40" i="17"/>
  <c r="N30" i="17"/>
  <c r="L31" i="17"/>
  <c r="L32" i="17"/>
  <c r="L33" i="17"/>
  <c r="L34" i="17"/>
  <c r="L35" i="17"/>
  <c r="L36" i="17"/>
  <c r="L37" i="17"/>
  <c r="L39" i="17"/>
  <c r="L40" i="17"/>
  <c r="L30" i="17"/>
  <c r="J40" i="17"/>
  <c r="I40" i="17"/>
  <c r="J39" i="17"/>
  <c r="I39" i="17"/>
  <c r="J37" i="17"/>
  <c r="I37" i="17"/>
  <c r="J36" i="17"/>
  <c r="I36" i="17"/>
  <c r="J35" i="17"/>
  <c r="I35" i="17"/>
  <c r="J34" i="17"/>
  <c r="I34" i="17"/>
  <c r="J33" i="17"/>
  <c r="I33" i="17"/>
  <c r="J32" i="17"/>
  <c r="I32" i="17"/>
  <c r="J31" i="17"/>
  <c r="I31" i="17"/>
  <c r="J30" i="17"/>
  <c r="I30" i="17"/>
  <c r="I1" i="17"/>
  <c r="H1" i="17"/>
  <c r="G1" i="17"/>
  <c r="C1" i="17"/>
  <c r="I1" i="14"/>
  <c r="H1" i="14"/>
  <c r="G1" i="14"/>
  <c r="C1" i="14"/>
  <c r="I1" i="13"/>
  <c r="H1" i="13"/>
  <c r="G1" i="13"/>
  <c r="C1" i="13"/>
  <c r="D10" i="12"/>
  <c r="I1" i="12"/>
  <c r="H1" i="12"/>
  <c r="G1" i="12"/>
  <c r="C1" i="12"/>
  <c r="I1" i="10"/>
  <c r="H1" i="10"/>
  <c r="G1" i="10"/>
  <c r="C1" i="10"/>
  <c r="I1" i="9"/>
  <c r="H1" i="9"/>
  <c r="G1" i="9"/>
  <c r="C1" i="9"/>
  <c r="D12" i="26" l="1"/>
  <c r="D14" i="26"/>
  <c r="Q34" i="23"/>
  <c r="O34" i="23"/>
  <c r="M34" i="23"/>
  <c r="K34" i="23"/>
  <c r="Q33" i="23"/>
  <c r="O33" i="23"/>
  <c r="M33" i="23"/>
  <c r="K33" i="23"/>
  <c r="Q32" i="23"/>
  <c r="O32" i="23"/>
  <c r="M32" i="23"/>
  <c r="K32" i="23"/>
  <c r="Q31" i="23"/>
  <c r="O31" i="23"/>
  <c r="M31" i="23"/>
  <c r="K31" i="23"/>
  <c r="Q30" i="23"/>
  <c r="O30" i="23"/>
  <c r="M30" i="23"/>
  <c r="K30" i="23"/>
  <c r="Q29" i="23"/>
  <c r="O29" i="23"/>
  <c r="M29" i="23"/>
  <c r="K29" i="23"/>
  <c r="Q28" i="23"/>
  <c r="O28" i="23"/>
  <c r="M28" i="23"/>
  <c r="K28" i="23"/>
  <c r="Q27" i="23"/>
  <c r="O27" i="23"/>
  <c r="M27" i="23"/>
  <c r="K27" i="23"/>
  <c r="Q26" i="23"/>
  <c r="O26" i="23"/>
  <c r="M26" i="23"/>
  <c r="K26" i="23"/>
  <c r="Q25" i="23"/>
  <c r="O25" i="23"/>
  <c r="M25" i="23"/>
  <c r="K25" i="23"/>
  <c r="Q24" i="23"/>
  <c r="O24" i="23"/>
  <c r="M24" i="23"/>
  <c r="K24" i="23"/>
  <c r="Q23" i="23"/>
  <c r="O23" i="23"/>
  <c r="M23" i="23"/>
  <c r="Q22" i="23"/>
  <c r="O22" i="23"/>
  <c r="M22" i="23"/>
  <c r="K22" i="23"/>
  <c r="Q21" i="23"/>
  <c r="O21" i="23"/>
  <c r="M21" i="23"/>
  <c r="K21" i="23"/>
  <c r="G16" i="22"/>
  <c r="G17" i="22" s="1"/>
  <c r="G22" i="22"/>
  <c r="F16" i="22"/>
  <c r="F17" i="22" s="1"/>
  <c r="F22" i="22"/>
  <c r="E19" i="22"/>
  <c r="E16" i="22"/>
  <c r="E17" i="22" s="1"/>
  <c r="E22" i="22"/>
  <c r="D16" i="22"/>
  <c r="D17" i="22" s="1"/>
  <c r="D19" i="22"/>
  <c r="D22" i="22"/>
  <c r="O38" i="17"/>
  <c r="Q38" i="17"/>
  <c r="K38" i="17"/>
  <c r="M38" i="17"/>
  <c r="K42" i="17"/>
  <c r="D17" i="12"/>
  <c r="D13" i="12"/>
  <c r="K41" i="17"/>
  <c r="Q41" i="17"/>
  <c r="M41" i="17"/>
  <c r="O41" i="17"/>
  <c r="K43" i="17"/>
  <c r="Q31" i="17"/>
  <c r="Q33" i="17"/>
  <c r="Q34" i="17"/>
  <c r="Q35" i="17"/>
  <c r="Q36" i="17"/>
  <c r="Q37" i="17"/>
  <c r="Q39" i="17"/>
  <c r="Q40" i="17"/>
  <c r="Q30" i="17"/>
  <c r="O31" i="17"/>
  <c r="O32" i="17"/>
  <c r="O33" i="17"/>
  <c r="O34" i="17"/>
  <c r="O35" i="17"/>
  <c r="O36" i="17"/>
  <c r="O37" i="17"/>
  <c r="O39" i="17"/>
  <c r="O30" i="17"/>
  <c r="Q32" i="17"/>
  <c r="O40" i="17"/>
  <c r="M31" i="17"/>
  <c r="M32" i="17"/>
  <c r="M33" i="17"/>
  <c r="M34" i="17"/>
  <c r="M35" i="17"/>
  <c r="M36" i="17"/>
  <c r="M37" i="17"/>
  <c r="M39" i="17"/>
  <c r="M40" i="17"/>
  <c r="M30" i="17"/>
  <c r="K36" i="17"/>
  <c r="K40" i="17"/>
  <c r="K39" i="17"/>
  <c r="K37" i="17"/>
  <c r="K35" i="17"/>
  <c r="K33" i="17"/>
  <c r="K32" i="17"/>
  <c r="K31" i="17"/>
  <c r="K30" i="17"/>
  <c r="K34" i="17"/>
  <c r="G10" i="23" l="1"/>
  <c r="G7" i="23"/>
  <c r="G8" i="23" s="1"/>
  <c r="G13" i="23"/>
  <c r="F7" i="23"/>
  <c r="F8" i="23" s="1"/>
  <c r="F10" i="23"/>
  <c r="F13" i="23"/>
  <c r="E7" i="23"/>
  <c r="E8" i="23" s="1"/>
  <c r="E10" i="23"/>
  <c r="E13" i="23"/>
  <c r="D10" i="23"/>
  <c r="D7" i="23"/>
  <c r="D8" i="23" s="1"/>
  <c r="D13" i="23"/>
  <c r="F11" i="23"/>
  <c r="F15" i="23"/>
  <c r="D11" i="23"/>
  <c r="D15" i="23"/>
  <c r="D9" i="22"/>
  <c r="G20" i="22"/>
  <c r="F24" i="22"/>
  <c r="F20" i="22"/>
  <c r="E20" i="22"/>
  <c r="E24" i="22"/>
  <c r="D20" i="22"/>
  <c r="D24" i="22"/>
  <c r="G22" i="17"/>
  <c r="F22" i="17"/>
  <c r="F17" i="17"/>
  <c r="E22" i="17"/>
  <c r="E17" i="17"/>
  <c r="D22" i="17"/>
  <c r="D17" i="17"/>
  <c r="G11" i="23" l="1"/>
  <c r="G15" i="23"/>
  <c r="E11" i="23"/>
  <c r="E15" i="23"/>
  <c r="E20" i="17"/>
  <c r="E24" i="17"/>
  <c r="D20" i="17"/>
  <c r="D24" i="17"/>
  <c r="G17" i="17"/>
  <c r="D9" i="17"/>
  <c r="F20" i="17"/>
  <c r="F24" i="17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<sst xmlns="http://schemas.openxmlformats.org/spreadsheetml/2006/main" count="1064" uniqueCount="287">
  <si>
    <t>Current version</t>
  </si>
  <si>
    <t>The PSC - QT 45a Single sheet template v3 updated 07/09/2020 - QMS controlled template - changes must be authorized by the COO, and recorded in the Document Control Register</t>
  </si>
  <si>
    <t>Instructions</t>
  </si>
  <si>
    <t>Make the data table stakeholder‑ready for a board pack by completing the following tasks on the data table</t>
  </si>
  <si>
    <t>#</t>
  </si>
  <si>
    <t>Tasks</t>
  </si>
  <si>
    <t>Example</t>
  </si>
  <si>
    <t>Bold the table header (row 22) and use fill and font colour to make visually distinct.</t>
  </si>
  <si>
    <t>Wrap the long header text and make sure all headers are readable.</t>
  </si>
  <si>
    <t>Example of wrapped text</t>
  </si>
  <si>
    <t>Add borders to make each cell in the table visually distinct.</t>
  </si>
  <si>
    <r>
      <t xml:space="preserve">Apply thousands separators to </t>
    </r>
    <r>
      <rPr>
        <i/>
        <sz val="10"/>
        <color theme="1"/>
        <rFont val="Century Gothic"/>
        <family val="2"/>
        <scheme val="minor"/>
      </rPr>
      <t>Population</t>
    </r>
    <r>
      <rPr>
        <sz val="10"/>
        <color theme="1"/>
        <rFont val="Century Gothic"/>
        <family val="2"/>
        <scheme val="minor"/>
      </rPr>
      <t xml:space="preserve"> (column D) with no decimal place.</t>
    </r>
  </si>
  <si>
    <r>
      <t xml:space="preserve">Format </t>
    </r>
    <r>
      <rPr>
        <i/>
        <sz val="10"/>
        <color theme="1"/>
        <rFont val="Century Gothic"/>
        <family val="2"/>
        <scheme val="minor"/>
      </rPr>
      <t xml:space="preserve">% of population within 15 minutes of nearest ED </t>
    </r>
    <r>
      <rPr>
        <sz val="10"/>
        <color theme="1"/>
        <rFont val="Century Gothic"/>
        <family val="2"/>
        <scheme val="minor"/>
      </rPr>
      <t>(column E) as a percentage with one decimal place.</t>
    </r>
  </si>
  <si>
    <r>
      <t xml:space="preserve">Sort zones by Population (largest to smallest).
</t>
    </r>
    <r>
      <rPr>
        <i/>
        <sz val="10"/>
        <color theme="1"/>
        <rFont val="Century Gothic"/>
        <family val="2"/>
        <scheme val="minor"/>
      </rPr>
      <t>Top tip: highlight the column headers and press CTRL+SHIFT+L</t>
    </r>
  </si>
  <si>
    <r>
      <t xml:space="preserve">Use </t>
    </r>
    <r>
      <rPr>
        <i/>
        <sz val="10"/>
        <color theme="1"/>
        <rFont val="Century Gothic"/>
        <family val="2"/>
        <scheme val="minor"/>
      </rPr>
      <t xml:space="preserve">Conditional Formatting </t>
    </r>
    <r>
      <rPr>
        <sz val="10"/>
        <color theme="1"/>
        <rFont val="Century Gothic"/>
        <family val="2"/>
        <scheme val="minor"/>
      </rPr>
      <t xml:space="preserve">to colour‑code </t>
    </r>
    <r>
      <rPr>
        <i/>
        <sz val="10"/>
        <color theme="1"/>
        <rFont val="Century Gothic"/>
        <family val="2"/>
        <scheme val="minor"/>
      </rPr>
      <t>Population</t>
    </r>
    <r>
      <rPr>
        <sz val="10"/>
        <color theme="1"/>
        <rFont val="Century Gothic"/>
        <family val="2"/>
        <scheme val="minor"/>
      </rPr>
      <t xml:space="preserve"> (column D) for the following:</t>
    </r>
  </si>
  <si>
    <t xml:space="preserve">    – High: &gt;100,000 people - RED</t>
  </si>
  <si>
    <t>High</t>
  </si>
  <si>
    <t xml:space="preserve">    – Medium: 50,000–100,000 people - AMBER</t>
  </si>
  <si>
    <t>Medium</t>
  </si>
  <si>
    <t xml:space="preserve">    – Low: &lt; 50,000 people - GREEN</t>
  </si>
  <si>
    <t>Low</t>
  </si>
  <si>
    <t>Dataset A</t>
  </si>
  <si>
    <t>Zone</t>
  </si>
  <si>
    <t>Population (#)</t>
  </si>
  <si>
    <t>% of population within 15 minutes of nearest ED</t>
  </si>
  <si>
    <t>Travel time to Westway Hospital (mins)</t>
  </si>
  <si>
    <t>Travel time to Northside Hospital (mins)</t>
  </si>
  <si>
    <t>Travel time to Royal Eastend Hospital (mins)</t>
  </si>
  <si>
    <t>Travel time to Sunnysouth Hospital (mins)</t>
  </si>
  <si>
    <t>Capital Inner</t>
  </si>
  <si>
    <t>Capital Outer</t>
  </si>
  <si>
    <t>Coast Town</t>
  </si>
  <si>
    <t>Coastal North</t>
  </si>
  <si>
    <t>Eastville</t>
  </si>
  <si>
    <t>Midlands East</t>
  </si>
  <si>
    <t>Midlands West</t>
  </si>
  <si>
    <t>North Zone A</t>
  </si>
  <si>
    <t>North Zone B</t>
  </si>
  <si>
    <t>Rural Far East</t>
  </si>
  <si>
    <t>Rural Far West</t>
  </si>
  <si>
    <t>South Central</t>
  </si>
  <si>
    <t>South Gateway</t>
  </si>
  <si>
    <t>Westville</t>
  </si>
  <si>
    <t>Z</t>
  </si>
  <si>
    <t>End of sheet</t>
  </si>
  <si>
    <t>Index</t>
  </si>
  <si>
    <t>&lt;write description here&gt;</t>
  </si>
  <si>
    <t>Bold the table header (row 25) and use fill and font colour to make visually distinct.</t>
  </si>
  <si>
    <t>Add borders to make each cell visually distinct.</t>
  </si>
  <si>
    <r>
      <t xml:space="preserve">Apply thousands separators to </t>
    </r>
    <r>
      <rPr>
        <i/>
        <sz val="10"/>
        <color theme="1"/>
        <rFont val="Century Gothic"/>
        <family val="2"/>
        <scheme val="minor"/>
      </rPr>
      <t>Population</t>
    </r>
    <r>
      <rPr>
        <sz val="10"/>
        <color theme="1"/>
        <rFont val="Century Gothic"/>
        <family val="2"/>
        <scheme val="minor"/>
      </rPr>
      <t xml:space="preserve"> (column D).</t>
    </r>
  </si>
  <si>
    <r>
      <t xml:space="preserve">Format </t>
    </r>
    <r>
      <rPr>
        <i/>
        <sz val="10"/>
        <color theme="1"/>
        <rFont val="Century Gothic"/>
        <family val="2"/>
        <scheme val="minor"/>
      </rPr>
      <t xml:space="preserve">% of population within 15 minutes of nearesr ED </t>
    </r>
    <r>
      <rPr>
        <sz val="10"/>
        <color theme="1"/>
        <rFont val="Century Gothic"/>
        <family val="2"/>
        <scheme val="minor"/>
      </rPr>
      <t>(column E) as a percentage with one decimal place.</t>
    </r>
  </si>
  <si>
    <t>Sort zones by Population (largest to smallest).</t>
  </si>
  <si>
    <r>
      <t xml:space="preserve">Apply colour‑coding to the </t>
    </r>
    <r>
      <rPr>
        <i/>
        <sz val="10"/>
        <color theme="1"/>
        <rFont val="Century Gothic"/>
        <family val="2"/>
        <scheme val="minor"/>
      </rPr>
      <t>Population</t>
    </r>
    <r>
      <rPr>
        <sz val="10"/>
        <color theme="1"/>
        <rFont val="Century Gothic"/>
        <family val="2"/>
        <scheme val="minor"/>
      </rPr>
      <t xml:space="preserve"> (column D) for the following:</t>
    </r>
  </si>
  <si>
    <t xml:space="preserve">    – High: &gt; 100,000 people - RED</t>
  </si>
  <si>
    <t>Geography / Zone name</t>
  </si>
  <si>
    <t xml:space="preserve">Population </t>
  </si>
  <si>
    <t>Complete the following calculations. Answer cells will turn green when correct answer is calculated.</t>
  </si>
  <si>
    <t>Tip: start every function with =</t>
  </si>
  <si>
    <t>Your answer</t>
  </si>
  <si>
    <t>Helper coumn</t>
  </si>
  <si>
    <t>Using "=" and "+": what is the sum of Coastal Town and Midlands West population?</t>
  </si>
  <si>
    <t>Function "SUM": What is the total population of all zones?</t>
  </si>
  <si>
    <r>
      <t xml:space="preserve">Function "COUNT": How many entries (rows) are in Dataset A?
</t>
    </r>
    <r>
      <rPr>
        <i/>
        <sz val="10"/>
        <color theme="1"/>
        <rFont val="Century Gothic"/>
        <family val="2"/>
        <scheme val="minor"/>
      </rPr>
      <t>Top tip: this function will only work on numerical values, and not text</t>
    </r>
  </si>
  <si>
    <t>Function "MIN": What is the fastest travel time to nearest hospital?</t>
  </si>
  <si>
    <t>Function "MAX": What is the slowest travel time to nearest hospital?</t>
  </si>
  <si>
    <t>Function "AVERAGE": What is the average population size?</t>
  </si>
  <si>
    <r>
      <t xml:space="preserve">Function "IF": True of False - travel time to nearest hospital for Eastville is more than 15 minutes?
</t>
    </r>
    <r>
      <rPr>
        <i/>
        <sz val="10"/>
        <color theme="1"/>
        <rFont val="Century Gothic"/>
        <family val="2"/>
        <scheme val="minor"/>
      </rPr>
      <t>Top tip: put TRUE &amp; FALSE in speech marks</t>
    </r>
    <r>
      <rPr>
        <sz val="10"/>
        <color theme="1"/>
        <rFont val="Century Gothic"/>
        <family val="2"/>
        <scheme val="minor"/>
      </rPr>
      <t xml:space="preserve"> (e.g. "TRUE")</t>
    </r>
  </si>
  <si>
    <r>
      <t xml:space="preserve">Instead of hardcoding values in your </t>
    </r>
    <r>
      <rPr>
        <sz val="10"/>
        <color theme="1"/>
        <rFont val="Arial Unicode MS"/>
      </rPr>
      <t>IF</t>
    </r>
    <r>
      <rPr>
        <sz val="11"/>
        <color theme="1"/>
        <rFont val="Century Gothic"/>
        <family val="2"/>
        <scheme val="minor"/>
      </rPr>
      <t xml:space="preserve"> function, reference a helper cell. That way, you can easily change the value later without editing the formula.</t>
    </r>
  </si>
  <si>
    <t>FUNCTION "COUNTIF": How many zones have a travel time of more than 15 minutes?</t>
  </si>
  <si>
    <t>FUNCTION "SUMIF": How many people live in an "URBAN" zone?</t>
  </si>
  <si>
    <t>Dataset - travel times</t>
  </si>
  <si>
    <t>Travel time to nearest hospital (mins)</t>
  </si>
  <si>
    <t>Zone type</t>
  </si>
  <si>
    <t>Urban</t>
  </si>
  <si>
    <t>Suburban</t>
  </si>
  <si>
    <t>Rural</t>
  </si>
  <si>
    <t>Coastal</t>
  </si>
  <si>
    <r>
      <t xml:space="preserve">Function "COUNT": How many data points are there in dataset A
</t>
    </r>
    <r>
      <rPr>
        <i/>
        <sz val="10"/>
        <color theme="1"/>
        <rFont val="Century Gothic"/>
        <family val="2"/>
        <scheme val="minor"/>
      </rPr>
      <t>Top tip: this function will only work on numerical values, and not text</t>
    </r>
  </si>
  <si>
    <t>Function "MIN": What is the fastesr travel time to nearest hospital?</t>
  </si>
  <si>
    <r>
      <t xml:space="preserve">FUNCTION "COUNTIF": How many zones have a travel time of more than 15 minutes?
</t>
    </r>
    <r>
      <rPr>
        <i/>
        <sz val="10"/>
        <color theme="1"/>
        <rFont val="Century Gothic"/>
        <family val="2"/>
        <scheme val="minor"/>
      </rPr>
      <t>Top tip: put  &gt;15 in speech marks</t>
    </r>
    <r>
      <rPr>
        <sz val="10"/>
        <color theme="1"/>
        <rFont val="Century Gothic"/>
        <family val="2"/>
        <scheme val="minor"/>
      </rPr>
      <t>(e.g. "&gt;15")</t>
    </r>
  </si>
  <si>
    <t>More Excel Functions</t>
  </si>
  <si>
    <t>Output</t>
  </si>
  <si>
    <t>Answer the questions in the cells formatted as 'output' cells - they (or a signal cell next to them) will turn green with a correct answer</t>
  </si>
  <si>
    <t>a</t>
  </si>
  <si>
    <t>Practice populations - statistics, xIF, xIFS</t>
  </si>
  <si>
    <t>Use the following dataset on GP practices to answer the questions below.</t>
  </si>
  <si>
    <t>AREA</t>
  </si>
  <si>
    <t>Practice Name</t>
  </si>
  <si>
    <t>Population</t>
  </si>
  <si>
    <t>EAST</t>
  </si>
  <si>
    <t>SAVILLE MEDICAL GROUP</t>
  </si>
  <si>
    <t>NORTH</t>
  </si>
  <si>
    <t>PROSPECT MEDICAL CENTRE</t>
  </si>
  <si>
    <t>WEST</t>
  </si>
  <si>
    <t>ROSEWORTH SURGERY</t>
  </si>
  <si>
    <t>SOUTH</t>
  </si>
  <si>
    <t>AVENUE MEDICAL PRACTICE</t>
  </si>
  <si>
    <t>PARK MEDICAL GROUP</t>
  </si>
  <si>
    <t>FALCON MEDICAL GROUP</t>
  </si>
  <si>
    <t>BIDDLESTONE HEALTH GROUP</t>
  </si>
  <si>
    <t>WALKER MEDICAL GROUP</t>
  </si>
  <si>
    <t>WEST ROAD MEDICAL CENTRE</t>
  </si>
  <si>
    <t>DENTON PARK MEDICAL GROUP</t>
  </si>
  <si>
    <t>HOLLY MEDICAL GROUP</t>
  </si>
  <si>
    <t>CRUDDAS PARK SURGERY</t>
  </si>
  <si>
    <t>THE GROVE MEDICAL GROUP</t>
  </si>
  <si>
    <t>THE SURGERY-OSBORNE ROAD</t>
  </si>
  <si>
    <t>HOLMSIDE MEDICAL GROUP</t>
  </si>
  <si>
    <t>PARKWAY MEDICAL GROUP</t>
  </si>
  <si>
    <t>37A MEDICAL CENTRE</t>
  </si>
  <si>
    <t>42 HEATON ROAD</t>
  </si>
  <si>
    <t>WESTERHOPE MEDICAL GROUP</t>
  </si>
  <si>
    <t>THROCKLEY PRIMARY CARE CENTRE</t>
  </si>
  <si>
    <t>NEWCASTLE MEDICAL CENTRE</t>
  </si>
  <si>
    <t>ELMFIELD HEALTH GROUP</t>
  </si>
  <si>
    <t>THORNFIELD MEDICAL GROUP</t>
  </si>
  <si>
    <t>BETTS AVENUE MEDICAL GROUP</t>
  </si>
  <si>
    <t>FENHAM HALL SURGERY</t>
  </si>
  <si>
    <t>BRUNTON PARK</t>
  </si>
  <si>
    <t>BROADWAY MEDICAL CENTRE</t>
  </si>
  <si>
    <t>GOSFORTH MEMORIAL MED.CTR</t>
  </si>
  <si>
    <t>GRAINGER MEDICAL GROUP</t>
  </si>
  <si>
    <t>NEWBURN SURGERY</t>
  </si>
  <si>
    <t>ST.ANTHONY'S HEALTH CENTRE</t>
  </si>
  <si>
    <t>DENTON TURRET MEDICAL CENTRE</t>
  </si>
  <si>
    <t>DILSTON MEDICAL CENTRE</t>
  </si>
  <si>
    <t>PONTELAND ROAD HEALTH CENTRE</t>
  </si>
  <si>
    <t>SCOTSWOOD GP PRACTICE</t>
  </si>
  <si>
    <t>THE GATEWAY PRACTICE</t>
  </si>
  <si>
    <t>WEST FARM SURGERY</t>
  </si>
  <si>
    <t>LANE END SURGERY</t>
  </si>
  <si>
    <t>SWARLAND AVENUE SURGERY</t>
  </si>
  <si>
    <t>SPRING TERRACE HEALTH CENTRE</t>
  </si>
  <si>
    <t>PORTUGAL PLACE HEALTH CTR</t>
  </si>
  <si>
    <t>COLLINGWOOD SURGERY</t>
  </si>
  <si>
    <t>WHITLEY BAY HEALTH CENTRE</t>
  </si>
  <si>
    <t>49 MARINE AVENUE</t>
  </si>
  <si>
    <t>FOREST HALL HEALTH CENTRE</t>
  </si>
  <si>
    <t>MARINE AVENUE MEDICAL CTR</t>
  </si>
  <si>
    <t>PRIORY MEDICAL GROUP</t>
  </si>
  <si>
    <t>BEAUMONT PARK SURGERY</t>
  </si>
  <si>
    <t>WIDEOPEN MEDICAL CENTRE</t>
  </si>
  <si>
    <t>BEWICKE MEDICAL CENTRE</t>
  </si>
  <si>
    <t>EARSDON PARK MEDICAL PRACTICE</t>
  </si>
  <si>
    <t>APPLEBY SURGERY</t>
  </si>
  <si>
    <t>THE VILLAGE GREEN SURGERY</t>
  </si>
  <si>
    <t>WOODLANDS PARK HEALTH CTR</t>
  </si>
  <si>
    <t>NELSON MEDICAL GROUP</t>
  </si>
  <si>
    <t>MONKSEATON MEDICAL CENTRE</t>
  </si>
  <si>
    <t>THE BOWMAN PRACTICE</t>
  </si>
  <si>
    <t>THE SMITH PRACTICE</t>
  </si>
  <si>
    <t>GARDEN PARK SURGERY</t>
  </si>
  <si>
    <t>PARK ROAD MEDICAL PRACT</t>
  </si>
  <si>
    <t>REDBURN PARK MEDICAL CENTRE</t>
  </si>
  <si>
    <t>PARK PARADE PRACTICE</t>
  </si>
  <si>
    <t>WELLSPRING MEDICAL PRACT.</t>
  </si>
  <si>
    <t>PRESTON &amp; AUSTIN PRACTICE</t>
  </si>
  <si>
    <t>BATTLE HILL HEALTH CENTRE</t>
  </si>
  <si>
    <t>THE GALLAGHER PRACTICE</t>
  </si>
  <si>
    <t>BANK HOUSE SURGERY</t>
  </si>
  <si>
    <t>CHADWICK PRACTICE</t>
  </si>
  <si>
    <t>HAVELOCK GRANGE PRACTICE</t>
  </si>
  <si>
    <t>HART MEDICAL PRACTICE</t>
  </si>
  <si>
    <t>MCKENZIE HOUSE SURGERY</t>
  </si>
  <si>
    <t>THE KOH PRACTICE</t>
  </si>
  <si>
    <t>THE HEADLAND MEDICAL CENTRE</t>
  </si>
  <si>
    <t>WYNYARD ROAD PCC - Intrahealth Ltd</t>
  </si>
  <si>
    <t>THE PATEL PRACTICE</t>
  </si>
  <si>
    <t>THE HAZLE PRACTICE</t>
  </si>
  <si>
    <t>GLADSTONE HOUSE</t>
  </si>
  <si>
    <t>WEST VIEW MILLENIUM SURGERY A</t>
  </si>
  <si>
    <t>SECURE PATIENT UNIT</t>
  </si>
  <si>
    <t>HARTFIELDS MEDICAL PRACTICE - Intrahealth Ltd</t>
  </si>
  <si>
    <t>THE FENS MEDICAL CENTRE</t>
  </si>
  <si>
    <t>THE DENSHAM SURGERY</t>
  </si>
  <si>
    <t>QUEENS PARK MEDICAL CENTRE</t>
  </si>
  <si>
    <t>TENNANT STREET MEDICAL PRACTICE</t>
  </si>
  <si>
    <t>QUEENSTREE PRACTICE</t>
  </si>
  <si>
    <t>WOODBRIDGE PRACTICE</t>
  </si>
  <si>
    <t>THE DOVECOT SURGERY</t>
  </si>
  <si>
    <t>1. Using the practice data above calculate the:</t>
  </si>
  <si>
    <t>1a</t>
  </si>
  <si>
    <t>Standard Deviation of the list</t>
  </si>
  <si>
    <t>1b</t>
  </si>
  <si>
    <t>Arithmetic mean</t>
  </si>
  <si>
    <t>1c</t>
  </si>
  <si>
    <t>25th percentile</t>
  </si>
  <si>
    <t>1d</t>
  </si>
  <si>
    <t>Median</t>
  </si>
  <si>
    <t>1e</t>
  </si>
  <si>
    <t>75th percentile</t>
  </si>
  <si>
    <t>2. Furthermore, we want to do some analysis of the 'large practices' (defined as &gt;10,000 practice population)</t>
  </si>
  <si>
    <t>&gt;10000</t>
  </si>
  <si>
    <t>Definition of Large Practices</t>
  </si>
  <si>
    <t>NB - answers ideally shouldn't have any hardcoding!</t>
  </si>
  <si>
    <t>2a</t>
  </si>
  <si>
    <t>The number of large practices</t>
  </si>
  <si>
    <t>2b</t>
  </si>
  <si>
    <t>The total combined population of the large practices</t>
  </si>
  <si>
    <t>2c</t>
  </si>
  <si>
    <t>Average population of large practices</t>
  </si>
  <si>
    <t>2d</t>
  </si>
  <si>
    <t>The number of 'large' practices in the North</t>
  </si>
  <si>
    <t>2e</t>
  </si>
  <si>
    <t>The total combined population 'large' practices in the North</t>
  </si>
  <si>
    <t>2f</t>
  </si>
  <si>
    <t>Average population of large practices in the North</t>
  </si>
  <si>
    <t>b</t>
  </si>
  <si>
    <t>Using INDEX / MATCH, HLOOKUP, TRANSPOSE and RANK</t>
  </si>
  <si>
    <t>Using the financial dataset below to answer the following questions</t>
  </si>
  <si>
    <t>Category</t>
  </si>
  <si>
    <t>Staff- Medical</t>
  </si>
  <si>
    <t>Staff- Nursing</t>
  </si>
  <si>
    <t>Staff - other clinical</t>
  </si>
  <si>
    <t>Staff- Non-clinical</t>
  </si>
  <si>
    <t>Clinical service and supplies including drugs</t>
  </si>
  <si>
    <t>Non-clinical services</t>
  </si>
  <si>
    <t>Corporate services</t>
  </si>
  <si>
    <t>A&amp;E</t>
  </si>
  <si>
    <t>Emergency Medicine</t>
  </si>
  <si>
    <t>Emergency Surgery</t>
  </si>
  <si>
    <t>Obstetrics &amp; Neonates</t>
  </si>
  <si>
    <t>Emergency Paediatrics</t>
  </si>
  <si>
    <t>Elective Paediatrics</t>
  </si>
  <si>
    <t>Elective Medicine</t>
  </si>
  <si>
    <t>Elective Surgery</t>
  </si>
  <si>
    <t>Outpatients</t>
  </si>
  <si>
    <t>Adult critical care</t>
  </si>
  <si>
    <t>Community services</t>
  </si>
  <si>
    <t>Other clinical</t>
  </si>
  <si>
    <t>Non-clinical</t>
  </si>
  <si>
    <t>(Spare)</t>
  </si>
  <si>
    <t>1. Using a combination of the INDEX and MATCH formulae, find the nursing cost of the Elective Surgery and Outpatients service-lines</t>
  </si>
  <si>
    <t>Correct</t>
  </si>
  <si>
    <t>Staff- nursing</t>
  </si>
  <si>
    <t>2. Use TRANSPOSE to turn the cost categories into a vertical list of categories.</t>
  </si>
  <si>
    <t>a. Using an array formulae</t>
  </si>
  <si>
    <t>b. Using 'Paste Special'</t>
  </si>
  <si>
    <t>Check</t>
  </si>
  <si>
    <t>OK</t>
  </si>
  <si>
    <t>4. Use RANK to show, in descending order, which are the largest items cost for emergency medicine</t>
  </si>
  <si>
    <t>Complete the following calculations to assess how a Westway Closure scenario will impact patient travel times. Answer cells will turn green when correct answer is calculated.</t>
  </si>
  <si>
    <t>Answer</t>
  </si>
  <si>
    <t>Helper column</t>
  </si>
  <si>
    <t>Function "MIN": In Column I of the dataset calculate the current travel time to closest ED for each zone</t>
  </si>
  <si>
    <t>FUNCTION "MIN": In Column J of the dataset calculate the travel time to closest ED for each zone in a WESTWAY CLOSURE scenario</t>
  </si>
  <si>
    <t>In Column K of the dataset calculate the increase in travel time to nearest hospital in a WESTWAY CLOSURE scenario</t>
  </si>
  <si>
    <t>FUNCTION "SUMIF": How many people will have their travel time to nearest ED increase in a WESTWAY scenario?</t>
  </si>
  <si>
    <t>FUNCTION "SUMIF": How many people will have their travel time to nearest ED increase by more than 10 minutes in a WESTWAY CLOSURE scenario?</t>
  </si>
  <si>
    <t>FUNCTION "MAX": What is the largest increase in travel time for a single zone?</t>
  </si>
  <si>
    <t>Current state</t>
  </si>
  <si>
    <t>Westway closure scenario</t>
  </si>
  <si>
    <t>Travel time to Westway (mins)</t>
  </si>
  <si>
    <t>Travel time to Northside (mins)</t>
  </si>
  <si>
    <t>Travel time to Eastend (mins)</t>
  </si>
  <si>
    <t>Travel time to Sunnysouth (mins)</t>
  </si>
  <si>
    <t>Current Travel time to closest ED (mins)</t>
  </si>
  <si>
    <t>Travel time to closest ED if Westway closes (mins)</t>
  </si>
  <si>
    <t>Increase in travel time to nearest hospital (mins)</t>
  </si>
  <si>
    <t>Complete the output table</t>
  </si>
  <si>
    <t>Analysis output</t>
  </si>
  <si>
    <t>Westway closure</t>
  </si>
  <si>
    <t>Northside closure</t>
  </si>
  <si>
    <t>Eastend closure</t>
  </si>
  <si>
    <t>Sunnysouth closure</t>
  </si>
  <si>
    <t>1. Increase in travel time to ED</t>
  </si>
  <si>
    <t>As % of tota population</t>
  </si>
  <si>
    <t>2. Increase in travel time of more than 10 mins</t>
  </si>
  <si>
    <t>3. Largest increase in travel time for a single zone (mins)</t>
  </si>
  <si>
    <t>Error check</t>
  </si>
  <si>
    <t>&gt;0</t>
  </si>
  <si>
    <t>&gt;10</t>
  </si>
  <si>
    <t>Northside closure scenario</t>
  </si>
  <si>
    <t>Eastend closure scenario</t>
  </si>
  <si>
    <t>Sunnysouth closure scenario</t>
  </si>
  <si>
    <t>Travel time to closest ED if Northway closes (mins)</t>
  </si>
  <si>
    <t>Travel time to closest ED if Eastend closes (mins)</t>
  </si>
  <si>
    <t>Travel time to closest ED if Sunnysouth closes (mins)</t>
  </si>
  <si>
    <t>Your analyst has completed the data analysis and shared it with you. In groups, review the findings and then answer the questions below</t>
  </si>
  <si>
    <t>QA -  identify and correct the error in the analysis output</t>
  </si>
  <si>
    <t xml:space="preserve">Based on the findings from the analysis, which decommissioning scenario has the least impact on travel times? </t>
  </si>
  <si>
    <t>N.B. these cells will not turn green!</t>
  </si>
  <si>
    <t xml:space="preserve">What are your three key insights from the analysis to present back to the programme board? </t>
  </si>
  <si>
    <t>1. # of people with increase in travel time to ED</t>
  </si>
  <si>
    <t>As % of total population</t>
  </si>
  <si>
    <t>2. # of people with increase in travel time of more than 10 mins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</si>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</sst>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[$-F400]h:mm:ss\ AM/PM"/>
    <numFmt numFmtId="166" formatCode="_-* #,##0_-;\-* #,##0_-;_-* &quot;-&quot;??_-;_-@_-"/>
    <numFmt numFmtId="167" formatCode="0.0%"/>
    <numFmt numFmtId="168" formatCode="0.0"/>
    <numFmt numFmtId="169" formatCode="_-* #,##0.0_-;\-* #,##0.0_-;_-* &quot;-&quot;??_-;_-@_-"/>
    <numFmt numFmtId="170" formatCode="[$£-809]#,##0"/>
  </numFmts>
  <fonts count="40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i/>
      <sz val="11"/>
      <color theme="1"/>
      <name val="Century Gothic"/>
      <family val="2"/>
      <scheme val="minor"/>
    </font>
    <font>
      <i/>
      <sz val="11"/>
      <color theme="5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name val="Century Gothic"/>
      <family val="2"/>
      <scheme val="minor"/>
    </font>
    <font>
      <sz val="10"/>
      <color theme="5"/>
      <name val="Century Gothic"/>
      <family val="2"/>
      <scheme val="minor"/>
    </font>
    <font>
      <sz val="8"/>
      <name val="Century Gothic"/>
      <family val="2"/>
      <scheme val="minor"/>
    </font>
    <font>
      <sz val="8"/>
      <color theme="5"/>
      <name val="Century Gothic"/>
      <family val="2"/>
      <scheme val="minor"/>
    </font>
    <font>
      <b/>
      <sz val="11"/>
      <name val="Century Gothic"/>
      <family val="2"/>
      <scheme val="minor"/>
    </font>
    <font>
      <b/>
      <sz val="11"/>
      <color theme="2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i/>
      <sz val="11"/>
      <color theme="3"/>
      <name val="Century Gothic"/>
      <family val="2"/>
      <scheme val="minor"/>
    </font>
    <font>
      <b/>
      <sz val="16"/>
      <color theme="3"/>
      <name val="Century Gothic"/>
      <family val="2"/>
      <scheme val="major"/>
    </font>
    <font>
      <sz val="10"/>
      <color theme="1"/>
      <name val="Century Gothic"/>
      <family val="2"/>
      <scheme val="minor"/>
    </font>
    <font>
      <i/>
      <sz val="10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0"/>
      <color theme="5"/>
      <name val="Century Gothic"/>
      <family val="2"/>
      <scheme val="minor"/>
    </font>
    <font>
      <b/>
      <sz val="8"/>
      <color theme="5"/>
      <name val="Century Gothic"/>
      <family val="2"/>
      <scheme val="minor"/>
    </font>
    <font>
      <b/>
      <sz val="8"/>
      <name val="Century Gothic"/>
      <family val="2"/>
      <scheme val="minor"/>
    </font>
    <font>
      <b/>
      <i/>
      <sz val="11"/>
      <color theme="5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16"/>
      <color theme="3"/>
      <name val="Century Gothic"/>
      <family val="2"/>
      <scheme val="minor"/>
    </font>
    <font>
      <b/>
      <i/>
      <sz val="11"/>
      <color indexed="56"/>
      <name val="Century Gothic"/>
      <family val="2"/>
      <scheme val="minor"/>
    </font>
    <font>
      <sz val="11"/>
      <color theme="3" tint="0.59996337778862885"/>
      <name val="Century Gothic"/>
      <family val="2"/>
      <scheme val="minor"/>
    </font>
    <font>
      <b/>
      <sz val="10"/>
      <name val="Century Gothic"/>
      <family val="2"/>
      <scheme val="minor"/>
    </font>
    <font>
      <sz val="10"/>
      <name val="Century Gothic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Century Gothic"/>
      <family val="2"/>
      <scheme val="minor"/>
    </font>
    <font>
      <sz val="11"/>
      <color indexed="8"/>
      <name val="Calibri"/>
      <family val="2"/>
    </font>
    <font>
      <sz val="11"/>
      <color rgb="FF000000"/>
      <name val="Century Gothic"/>
      <family val="2"/>
      <scheme val="minor"/>
    </font>
    <font>
      <b/>
      <sz val="11"/>
      <color theme="6"/>
      <name val="Century Gothic"/>
      <family val="2"/>
      <scheme val="minor"/>
    </font>
    <font>
      <sz val="12"/>
      <color theme="1" tint="0.79998168889431442"/>
      <name val="Century Gothic"/>
      <family val="2"/>
      <scheme val="minor"/>
    </font>
    <font>
      <sz val="10"/>
      <color theme="1"/>
      <name val="Arial Unicode MS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8999908444471571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indexed="31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double">
        <color rgb="FFFF0000"/>
      </bottom>
      <diagonal/>
    </border>
    <border>
      <left/>
      <right/>
      <top style="thin">
        <color theme="3"/>
      </top>
      <bottom style="double">
        <color theme="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hair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theme="3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 style="thin">
        <color theme="3" tint="0.59996337778862885"/>
      </bottom>
      <diagonal/>
    </border>
    <border>
      <left/>
      <right/>
      <top/>
      <bottom style="thin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3" fillId="2" borderId="0" applyNumberFormat="0" applyFill="0" applyBorder="0" applyAlignment="0" applyProtection="0"/>
    <xf numFmtId="0" fontId="7" fillId="2" borderId="5">
      <alignment horizontal="center"/>
    </xf>
    <xf numFmtId="0" fontId="7" fillId="3" borderId="0">
      <alignment horizontal="left"/>
    </xf>
    <xf numFmtId="0" fontId="12" fillId="6" borderId="1" applyNumberFormat="0" applyBorder="0" applyAlignment="0" applyProtection="0">
      <alignment horizontal="left" wrapText="1" readingOrder="1"/>
    </xf>
    <xf numFmtId="0" fontId="11" fillId="5" borderId="0"/>
    <xf numFmtId="0" fontId="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6" fillId="4" borderId="7" applyNumberFormat="0" applyAlignment="0" applyProtection="0"/>
    <xf numFmtId="0" fontId="6" fillId="0" borderId="0" applyNumberFormat="0" applyFill="0" applyAlignment="0" applyProtection="0"/>
    <xf numFmtId="0" fontId="2" fillId="0" borderId="0" applyNumberFormat="0" applyFill="0" applyAlignment="0" applyProtection="0"/>
    <xf numFmtId="0" fontId="7" fillId="5" borderId="0" applyNumberFormat="0" applyAlignment="0" applyProtection="0"/>
    <xf numFmtId="0" fontId="7" fillId="0" borderId="0" applyNumberFormat="0" applyAlignment="0" applyProtection="0"/>
    <xf numFmtId="0" fontId="7" fillId="0" borderId="0" applyNumberFormat="0" applyAlignment="0" applyProtection="0"/>
    <xf numFmtId="0" fontId="13" fillId="0" borderId="8" applyNumberFormat="0" applyFill="0" applyAlignment="0" applyProtection="0"/>
    <xf numFmtId="0" fontId="11" fillId="7" borderId="0" applyNumberFormat="0" applyAlignment="0" applyProtection="0"/>
    <xf numFmtId="0" fontId="1" fillId="0" borderId="0" applyNumberFormat="0" applyFont="0" applyAlignment="0" applyProtection="0"/>
    <xf numFmtId="0" fontId="2" fillId="0" borderId="9" applyNumberFormat="0" applyAlignment="0" applyProtection="0"/>
    <xf numFmtId="0" fontId="14" fillId="0" borderId="0" applyNumberFormat="0" applyAlignment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27" fillId="0" borderId="0"/>
    <xf numFmtId="0" fontId="29" fillId="2" borderId="30">
      <alignment horizontal="center"/>
    </xf>
    <xf numFmtId="0" fontId="26" fillId="15" borderId="0">
      <alignment horizontal="left"/>
    </xf>
    <xf numFmtId="0" fontId="7" fillId="3" borderId="0">
      <alignment vertical="top"/>
    </xf>
    <xf numFmtId="0" fontId="1" fillId="0" borderId="0"/>
    <xf numFmtId="164" fontId="32" fillId="0" borderId="0" applyFont="0" applyFill="0" applyBorder="0" applyAlignment="0" applyProtection="0"/>
    <xf numFmtId="0" fontId="33" fillId="0" borderId="0"/>
    <xf numFmtId="164" fontId="1" fillId="0" borderId="0" applyFont="0" applyFill="0" applyBorder="0" applyAlignment="0" applyProtection="0"/>
    <xf numFmtId="170" fontId="35" fillId="16" borderId="0" applyNumberFormat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1" applyFill="1" applyAlignment="1" applyProtection="1">
      <alignment horizontal="left" vertical="top"/>
    </xf>
    <xf numFmtId="0" fontId="7" fillId="2" borderId="5" xfId="2" applyAlignment="1">
      <alignment horizontal="center" vertical="top"/>
    </xf>
    <xf numFmtId="0" fontId="7" fillId="3" borderId="0" xfId="3" applyAlignment="1">
      <alignment horizontal="left" vertical="top"/>
    </xf>
    <xf numFmtId="0" fontId="7" fillId="0" borderId="0" xfId="0" applyFont="1" applyAlignment="1">
      <alignment vertical="top"/>
    </xf>
    <xf numFmtId="0" fontId="3" fillId="0" borderId="0" xfId="1" applyFill="1" applyBorder="1" applyAlignment="1" applyProtection="1">
      <alignment horizontal="left" vertical="top"/>
    </xf>
    <xf numFmtId="2" fontId="0" fillId="0" borderId="0" xfId="0" applyNumberFormat="1" applyAlignment="1">
      <alignment vertical="top"/>
    </xf>
    <xf numFmtId="0" fontId="8" fillId="0" borderId="3" xfId="0" applyFont="1" applyBorder="1"/>
    <xf numFmtId="0" fontId="10" fillId="0" borderId="3" xfId="0" applyFont="1" applyBorder="1"/>
    <xf numFmtId="0" fontId="9" fillId="0" borderId="3" xfId="0" applyFont="1" applyBorder="1" applyAlignment="1">
      <alignment horizontal="right"/>
    </xf>
    <xf numFmtId="0" fontId="9" fillId="0" borderId="3" xfId="0" applyFont="1" applyBorder="1"/>
    <xf numFmtId="14" fontId="9" fillId="0" borderId="3" xfId="0" applyNumberFormat="1" applyFont="1" applyBorder="1"/>
    <xf numFmtId="165" fontId="9" fillId="0" borderId="4" xfId="0" applyNumberFormat="1" applyFont="1" applyBorder="1"/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15" fillId="0" borderId="2" xfId="7" applyBorder="1"/>
    <xf numFmtId="0" fontId="14" fillId="0" borderId="2" xfId="19" applyBorder="1" applyAlignment="1"/>
    <xf numFmtId="0" fontId="2" fillId="0" borderId="0" xfId="0" applyFont="1" applyAlignment="1">
      <alignment vertical="top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6" fillId="4" borderId="7" xfId="9" applyAlignment="1">
      <alignment horizontal="center" vertical="center"/>
    </xf>
    <xf numFmtId="0" fontId="6" fillId="4" borderId="7" xfId="9" applyAlignment="1">
      <alignment vertical="center" wrapText="1"/>
    </xf>
    <xf numFmtId="0" fontId="6" fillId="4" borderId="7" xfId="9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6" fillId="0" borderId="11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16" fillId="0" borderId="12" xfId="0" applyFont="1" applyBorder="1" applyAlignment="1">
      <alignment horizontal="left" vertical="center" wrapText="1"/>
    </xf>
    <xf numFmtId="167" fontId="16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6" fillId="0" borderId="13" xfId="0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16" fillId="0" borderId="14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vertical="top"/>
    </xf>
    <xf numFmtId="0" fontId="16" fillId="0" borderId="16" xfId="0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0" borderId="1" xfId="0" applyFont="1" applyBorder="1"/>
    <xf numFmtId="168" fontId="16" fillId="0" borderId="1" xfId="0" applyNumberFormat="1" applyFont="1" applyBorder="1"/>
    <xf numFmtId="0" fontId="2" fillId="0" borderId="0" xfId="0" applyFont="1"/>
    <xf numFmtId="0" fontId="0" fillId="0" borderId="0" xfId="0" applyAlignment="1">
      <alignment vertical="top" wrapText="1"/>
    </xf>
    <xf numFmtId="166" fontId="20" fillId="8" borderId="15" xfId="20" applyNumberFormat="1" applyFont="1" applyFill="1" applyBorder="1" applyAlignment="1">
      <alignment horizontal="center" vertical="center" wrapText="1"/>
    </xf>
    <xf numFmtId="166" fontId="16" fillId="0" borderId="1" xfId="20" applyNumberFormat="1" applyFont="1" applyBorder="1"/>
    <xf numFmtId="167" fontId="16" fillId="0" borderId="1" xfId="21" applyNumberFormat="1" applyFont="1" applyBorder="1"/>
    <xf numFmtId="0" fontId="21" fillId="8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top"/>
    </xf>
    <xf numFmtId="0" fontId="20" fillId="6" borderId="1" xfId="0" applyFont="1" applyFill="1" applyBorder="1" applyAlignment="1">
      <alignment horizontal="center" vertical="center" wrapText="1"/>
    </xf>
    <xf numFmtId="0" fontId="16" fillId="9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3" fontId="16" fillId="9" borderId="12" xfId="0" applyNumberFormat="1" applyFont="1" applyFill="1" applyBorder="1" applyAlignment="1">
      <alignment horizontal="right" vertical="center" wrapText="1"/>
    </xf>
    <xf numFmtId="0" fontId="16" fillId="9" borderId="12" xfId="0" applyFont="1" applyFill="1" applyBorder="1" applyAlignment="1">
      <alignment horizontal="right" vertical="center" wrapText="1"/>
    </xf>
    <xf numFmtId="168" fontId="16" fillId="2" borderId="1" xfId="0" applyNumberFormat="1" applyFont="1" applyFill="1" applyBorder="1" applyAlignment="1">
      <alignment wrapText="1"/>
    </xf>
    <xf numFmtId="0" fontId="16" fillId="0" borderId="0" xfId="0" applyFont="1" applyAlignment="1">
      <alignment vertical="top"/>
    </xf>
    <xf numFmtId="3" fontId="16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16" fillId="2" borderId="0" xfId="0" applyNumberFormat="1" applyFont="1" applyFill="1" applyAlignment="1">
      <alignment wrapText="1"/>
    </xf>
    <xf numFmtId="0" fontId="20" fillId="8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20" fillId="8" borderId="17" xfId="0" applyFont="1" applyFill="1" applyBorder="1" applyAlignment="1">
      <alignment horizontal="center" vertical="center" wrapText="1"/>
    </xf>
    <xf numFmtId="0" fontId="22" fillId="0" borderId="3" xfId="0" applyFont="1" applyBorder="1"/>
    <xf numFmtId="0" fontId="23" fillId="0" borderId="3" xfId="0" applyFont="1" applyBorder="1"/>
    <xf numFmtId="0" fontId="24" fillId="0" borderId="3" xfId="0" applyFont="1" applyBorder="1" applyAlignment="1">
      <alignment horizontal="right"/>
    </xf>
    <xf numFmtId="0" fontId="24" fillId="0" borderId="3" xfId="0" applyFont="1" applyBorder="1"/>
    <xf numFmtId="14" fontId="24" fillId="0" borderId="3" xfId="0" applyNumberFormat="1" applyFont="1" applyBorder="1"/>
    <xf numFmtId="0" fontId="25" fillId="0" borderId="3" xfId="0" applyFont="1" applyBorder="1" applyAlignment="1">
      <alignment vertical="top"/>
    </xf>
    <xf numFmtId="0" fontId="11" fillId="3" borderId="0" xfId="3" applyFont="1" applyAlignment="1">
      <alignment horizontal="left" vertical="top"/>
    </xf>
    <xf numFmtId="0" fontId="19" fillId="3" borderId="1" xfId="0" applyFont="1" applyFill="1" applyBorder="1" applyAlignment="1">
      <alignment horizontal="center" vertical="center" wrapText="1"/>
    </xf>
    <xf numFmtId="166" fontId="16" fillId="9" borderId="12" xfId="20" applyNumberFormat="1" applyFont="1" applyFill="1" applyBorder="1" applyAlignment="1">
      <alignment horizontal="right" vertical="center" wrapText="1"/>
    </xf>
    <xf numFmtId="168" fontId="16" fillId="9" borderId="12" xfId="0" applyNumberFormat="1" applyFont="1" applyFill="1" applyBorder="1" applyAlignment="1">
      <alignment horizontal="right" vertical="center" wrapText="1"/>
    </xf>
    <xf numFmtId="168" fontId="0" fillId="2" borderId="1" xfId="0" applyNumberFormat="1" applyFill="1" applyBorder="1" applyAlignment="1">
      <alignment horizontal="right"/>
    </xf>
    <xf numFmtId="0" fontId="19" fillId="11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 wrapText="1"/>
    </xf>
    <xf numFmtId="0" fontId="6" fillId="4" borderId="10" xfId="9" applyBorder="1" applyAlignment="1">
      <alignment horizontal="center" vertical="center"/>
    </xf>
    <xf numFmtId="0" fontId="6" fillId="4" borderId="10" xfId="9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169" fontId="16" fillId="0" borderId="1" xfId="20" applyNumberFormat="1" applyFont="1" applyBorder="1" applyAlignment="1">
      <alignment vertical="top"/>
    </xf>
    <xf numFmtId="166" fontId="16" fillId="0" borderId="1" xfId="20" applyNumberFormat="1" applyFont="1" applyBorder="1" applyAlignment="1">
      <alignment vertical="top"/>
    </xf>
    <xf numFmtId="168" fontId="0" fillId="2" borderId="0" xfId="0" applyNumberFormat="1" applyFill="1" applyAlignment="1">
      <alignment horizontal="right"/>
    </xf>
    <xf numFmtId="166" fontId="16" fillId="0" borderId="0" xfId="20" applyNumberFormat="1" applyFont="1" applyBorder="1" applyAlignment="1">
      <alignment vertical="top"/>
    </xf>
    <xf numFmtId="169" fontId="16" fillId="0" borderId="0" xfId="20" applyNumberFormat="1" applyFont="1" applyBorder="1" applyAlignment="1">
      <alignment vertical="top"/>
    </xf>
    <xf numFmtId="166" fontId="16" fillId="0" borderId="1" xfId="20" applyNumberFormat="1" applyFont="1" applyBorder="1" applyAlignment="1">
      <alignment horizontal="right" vertical="top"/>
    </xf>
    <xf numFmtId="0" fontId="7" fillId="2" borderId="0" xfId="2" applyBorder="1" applyAlignment="1">
      <alignment horizontal="center" vertical="top"/>
    </xf>
    <xf numFmtId="168" fontId="0" fillId="0" borderId="1" xfId="0" applyNumberFormat="1" applyBorder="1" applyAlignment="1">
      <alignment horizontal="left"/>
    </xf>
    <xf numFmtId="0" fontId="16" fillId="0" borderId="1" xfId="0" applyFont="1" applyBorder="1" applyAlignment="1">
      <alignment horizontal="left" vertical="top"/>
    </xf>
    <xf numFmtId="166" fontId="16" fillId="0" borderId="16" xfId="2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6" fillId="0" borderId="23" xfId="0" applyFont="1" applyBorder="1" applyAlignment="1">
      <alignment vertical="center" wrapText="1"/>
    </xf>
    <xf numFmtId="0" fontId="7" fillId="0" borderId="0" xfId="22" applyFill="1" applyAlignment="1">
      <alignment vertical="top"/>
    </xf>
    <xf numFmtId="0" fontId="27" fillId="0" borderId="24" xfId="23" applyBorder="1"/>
    <xf numFmtId="0" fontId="8" fillId="0" borderId="25" xfId="22" applyFont="1" applyFill="1" applyBorder="1" applyAlignment="1"/>
    <xf numFmtId="0" fontId="10" fillId="0" borderId="25" xfId="22" applyFont="1" applyFill="1" applyBorder="1" applyAlignment="1"/>
    <xf numFmtId="0" fontId="9" fillId="2" borderId="25" xfId="22" applyFont="1" applyBorder="1" applyAlignment="1">
      <alignment horizontal="right"/>
    </xf>
    <xf numFmtId="0" fontId="9" fillId="2" borderId="25" xfId="22" applyFont="1" applyBorder="1" applyAlignment="1"/>
    <xf numFmtId="14" fontId="9" fillId="2" borderId="25" xfId="22" applyNumberFormat="1" applyFont="1" applyBorder="1" applyAlignment="1"/>
    <xf numFmtId="165" fontId="9" fillId="2" borderId="26" xfId="22" applyNumberFormat="1" applyFont="1" applyBorder="1" applyAlignment="1"/>
    <xf numFmtId="0" fontId="1" fillId="0" borderId="0" xfId="22" applyFont="1" applyFill="1" applyAlignment="1">
      <alignment vertical="top"/>
    </xf>
    <xf numFmtId="0" fontId="28" fillId="0" borderId="27" xfId="23" applyFont="1" applyBorder="1" applyAlignment="1">
      <alignment vertical="top"/>
    </xf>
    <xf numFmtId="0" fontId="5" fillId="0" borderId="28" xfId="22" applyFont="1" applyFill="1" applyBorder="1" applyAlignment="1">
      <alignment vertical="top"/>
    </xf>
    <xf numFmtId="0" fontId="5" fillId="0" borderId="29" xfId="22" applyFont="1" applyFill="1" applyBorder="1" applyAlignment="1">
      <alignment vertical="top"/>
    </xf>
    <xf numFmtId="0" fontId="1" fillId="0" borderId="0" xfId="22" applyFont="1" applyFill="1" applyAlignment="1">
      <alignment horizontal="center" vertical="top"/>
    </xf>
    <xf numFmtId="0" fontId="11" fillId="0" borderId="0" xfId="22" applyFont="1" applyFill="1" applyAlignment="1">
      <alignment vertical="top"/>
    </xf>
    <xf numFmtId="0" fontId="1" fillId="4" borderId="31" xfId="27" applyFill="1" applyBorder="1"/>
    <xf numFmtId="49" fontId="30" fillId="4" borderId="32" xfId="27" applyNumberFormat="1" applyFont="1" applyFill="1" applyBorder="1" applyAlignment="1">
      <alignment horizontal="left"/>
    </xf>
    <xf numFmtId="3" fontId="30" fillId="4" borderId="33" xfId="27" applyNumberFormat="1" applyFont="1" applyFill="1" applyBorder="1" applyAlignment="1">
      <alignment horizontal="center"/>
    </xf>
    <xf numFmtId="0" fontId="1" fillId="0" borderId="34" xfId="27" applyBorder="1"/>
    <xf numFmtId="49" fontId="31" fillId="0" borderId="35" xfId="27" applyNumberFormat="1" applyFont="1" applyBorder="1" applyAlignment="1">
      <alignment horizontal="left"/>
    </xf>
    <xf numFmtId="166" fontId="31" fillId="0" borderId="36" xfId="28" applyNumberFormat="1" applyFont="1" applyBorder="1" applyAlignment="1">
      <alignment horizontal="center"/>
    </xf>
    <xf numFmtId="0" fontId="1" fillId="0" borderId="0" xfId="27" applyAlignment="1">
      <alignment vertical="top"/>
    </xf>
    <xf numFmtId="0" fontId="34" fillId="0" borderId="35" xfId="29" applyFont="1" applyBorder="1"/>
    <xf numFmtId="166" fontId="34" fillId="0" borderId="36" xfId="28" applyNumberFormat="1" applyFont="1" applyBorder="1" applyAlignment="1">
      <alignment horizontal="center"/>
    </xf>
    <xf numFmtId="0" fontId="1" fillId="0" borderId="37" xfId="27" applyBorder="1"/>
    <xf numFmtId="49" fontId="31" fillId="0" borderId="38" xfId="27" applyNumberFormat="1" applyFont="1" applyBorder="1" applyAlignment="1">
      <alignment horizontal="left"/>
    </xf>
    <xf numFmtId="166" fontId="31" fillId="0" borderId="39" xfId="28" applyNumberFormat="1" applyFont="1" applyBorder="1" applyAlignment="1">
      <alignment horizontal="center"/>
    </xf>
    <xf numFmtId="0" fontId="1" fillId="0" borderId="0" xfId="27"/>
    <xf numFmtId="0" fontId="2" fillId="0" borderId="0" xfId="27" applyFont="1"/>
    <xf numFmtId="3" fontId="1" fillId="0" borderId="0" xfId="27" applyNumberFormat="1"/>
    <xf numFmtId="0" fontId="4" fillId="0" borderId="0" xfId="27" applyFont="1"/>
    <xf numFmtId="170" fontId="36" fillId="17" borderId="40" xfId="31" applyFont="1" applyFill="1" applyBorder="1"/>
    <xf numFmtId="170" fontId="36" fillId="17" borderId="41" xfId="31" applyFont="1" applyFill="1" applyBorder="1" applyAlignment="1" applyProtection="1">
      <alignment horizontal="center" wrapText="1"/>
    </xf>
    <xf numFmtId="170" fontId="36" fillId="17" borderId="41" xfId="31" applyFont="1" applyFill="1" applyBorder="1" applyAlignment="1" applyProtection="1">
      <alignment wrapText="1"/>
    </xf>
    <xf numFmtId="170" fontId="36" fillId="17" borderId="42" xfId="31" applyFont="1" applyFill="1" applyBorder="1" applyAlignment="1" applyProtection="1">
      <alignment wrapText="1"/>
    </xf>
    <xf numFmtId="0" fontId="36" fillId="18" borderId="43" xfId="22" applyFont="1" applyFill="1" applyBorder="1"/>
    <xf numFmtId="3" fontId="36" fillId="18" borderId="44" xfId="22" applyNumberFormat="1" applyFont="1" applyFill="1" applyBorder="1"/>
    <xf numFmtId="3" fontId="36" fillId="18" borderId="45" xfId="22" applyNumberFormat="1" applyFont="1" applyFill="1" applyBorder="1"/>
    <xf numFmtId="0" fontId="36" fillId="18" borderId="46" xfId="22" applyFont="1" applyFill="1" applyBorder="1"/>
    <xf numFmtId="3" fontId="36" fillId="18" borderId="47" xfId="22" applyNumberFormat="1" applyFont="1" applyFill="1" applyBorder="1"/>
    <xf numFmtId="3" fontId="36" fillId="18" borderId="48" xfId="22" applyNumberFormat="1" applyFont="1" applyFill="1" applyBorder="1"/>
    <xf numFmtId="0" fontId="1" fillId="0" borderId="0" xfId="27" applyAlignment="1">
      <alignment horizontal="left" vertical="top" wrapText="1"/>
    </xf>
    <xf numFmtId="0" fontId="26" fillId="0" borderId="0" xfId="27" applyFont="1" applyAlignment="1">
      <alignment vertical="top"/>
    </xf>
    <xf numFmtId="0" fontId="1" fillId="0" borderId="10" xfId="27" applyBorder="1" applyAlignment="1">
      <alignment wrapText="1"/>
    </xf>
    <xf numFmtId="0" fontId="37" fillId="0" borderId="0" xfId="27" applyFont="1"/>
    <xf numFmtId="0" fontId="26" fillId="0" borderId="0" xfId="27" applyFont="1"/>
    <xf numFmtId="170" fontId="36" fillId="17" borderId="1" xfId="31" applyFont="1" applyFill="1" applyBorder="1"/>
    <xf numFmtId="170" fontId="36" fillId="17" borderId="1" xfId="31" applyFont="1" applyFill="1" applyBorder="1" applyAlignment="1" applyProtection="1">
      <alignment horizontal="center" wrapText="1"/>
    </xf>
    <xf numFmtId="170" fontId="36" fillId="17" borderId="1" xfId="31" applyFont="1" applyFill="1" applyBorder="1" applyAlignment="1" applyProtection="1">
      <alignment wrapText="1"/>
    </xf>
    <xf numFmtId="0" fontId="36" fillId="18" borderId="1" xfId="22" applyFont="1" applyFill="1" applyBorder="1"/>
    <xf numFmtId="0" fontId="26" fillId="0" borderId="0" xfId="22" applyFont="1" applyFill="1" applyAlignment="1">
      <alignment vertical="top"/>
    </xf>
    <xf numFmtId="0" fontId="7" fillId="11" borderId="0" xfId="26" applyFill="1">
      <alignment vertical="top"/>
    </xf>
    <xf numFmtId="166" fontId="7" fillId="11" borderId="0" xfId="30" applyNumberFormat="1" applyFont="1" applyFill="1" applyAlignment="1">
      <alignment vertical="top"/>
    </xf>
    <xf numFmtId="166" fontId="7" fillId="11" borderId="0" xfId="26" applyNumberFormat="1" applyFill="1">
      <alignment vertical="top"/>
    </xf>
    <xf numFmtId="166" fontId="7" fillId="11" borderId="0" xfId="28" applyNumberFormat="1" applyFont="1" applyFill="1" applyBorder="1" applyAlignment="1">
      <alignment vertical="top"/>
    </xf>
    <xf numFmtId="166" fontId="7" fillId="11" borderId="0" xfId="30" applyNumberFormat="1" applyFont="1" applyFill="1" applyAlignment="1">
      <alignment horizontal="left" vertical="top"/>
    </xf>
    <xf numFmtId="0" fontId="7" fillId="11" borderId="1" xfId="26" applyFill="1" applyBorder="1">
      <alignment vertical="top"/>
    </xf>
    <xf numFmtId="0" fontId="4" fillId="0" borderId="0" xfId="0" applyFont="1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166" fontId="0" fillId="0" borderId="1" xfId="20" applyNumberFormat="1" applyFont="1" applyBorder="1" applyAlignment="1">
      <alignment vertical="top"/>
    </xf>
    <xf numFmtId="9" fontId="4" fillId="0" borderId="1" xfId="21" applyFont="1" applyBorder="1" applyAlignment="1">
      <alignment vertical="top"/>
    </xf>
    <xf numFmtId="168" fontId="0" fillId="0" borderId="1" xfId="0" applyNumberFormat="1" applyBorder="1" applyAlignment="1">
      <alignment vertical="top"/>
    </xf>
    <xf numFmtId="0" fontId="11" fillId="19" borderId="1" xfId="0" applyFont="1" applyFill="1" applyBorder="1" applyAlignment="1">
      <alignment horizontal="center" vertical="top"/>
    </xf>
    <xf numFmtId="0" fontId="11" fillId="11" borderId="1" xfId="0" applyFont="1" applyFill="1" applyBorder="1" applyAlignment="1">
      <alignment horizontal="center" vertical="top"/>
    </xf>
    <xf numFmtId="0" fontId="11" fillId="12" borderId="1" xfId="0" applyFont="1" applyFill="1" applyBorder="1" applyAlignment="1">
      <alignment horizontal="center" vertical="top"/>
    </xf>
    <xf numFmtId="0" fontId="11" fillId="2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center"/>
    </xf>
    <xf numFmtId="9" fontId="0" fillId="0" borderId="0" xfId="21" applyFont="1" applyAlignment="1">
      <alignment vertical="top"/>
    </xf>
    <xf numFmtId="1" fontId="0" fillId="0" borderId="0" xfId="0" applyNumberFormat="1"/>
    <xf numFmtId="166" fontId="16" fillId="9" borderId="12" xfId="20" applyNumberFormat="1" applyFont="1" applyFill="1" applyBorder="1" applyAlignment="1">
      <alignment horizontal="center" vertical="center" wrapText="1"/>
    </xf>
    <xf numFmtId="3" fontId="16" fillId="9" borderId="12" xfId="0" applyNumberFormat="1" applyFont="1" applyFill="1" applyBorder="1" applyAlignment="1">
      <alignment horizontal="center" vertical="center" wrapText="1"/>
    </xf>
    <xf numFmtId="168" fontId="16" fillId="9" borderId="12" xfId="0" applyNumberFormat="1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vertical="center" wrapText="1"/>
    </xf>
    <xf numFmtId="0" fontId="16" fillId="11" borderId="14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1" applyFill="1" applyBorder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2" xfId="7" applyBorder="1" applyProtection="1">
      <protection locked="0"/>
    </xf>
    <xf numFmtId="0" fontId="22" fillId="0" borderId="3" xfId="0" applyFont="1" applyBorder="1" applyProtection="1">
      <protection locked="0"/>
    </xf>
    <xf numFmtId="0" fontId="23" fillId="0" borderId="3" xfId="0" applyFont="1" applyBorder="1" applyProtection="1">
      <protection locked="0"/>
    </xf>
    <xf numFmtId="0" fontId="24" fillId="0" borderId="3" xfId="0" applyFont="1" applyBorder="1" applyAlignment="1" applyProtection="1">
      <alignment horizontal="right"/>
      <protection locked="0"/>
    </xf>
    <xf numFmtId="0" fontId="24" fillId="0" borderId="3" xfId="0" applyFont="1" applyBorder="1" applyProtection="1">
      <protection locked="0"/>
    </xf>
    <xf numFmtId="14" fontId="24" fillId="0" borderId="3" xfId="0" applyNumberFormat="1" applyFont="1" applyBorder="1" applyProtection="1">
      <protection locked="0"/>
    </xf>
    <xf numFmtId="165" fontId="9" fillId="0" borderId="4" xfId="0" applyNumberFormat="1" applyFont="1" applyBorder="1" applyProtection="1">
      <protection locked="0"/>
    </xf>
    <xf numFmtId="0" fontId="7" fillId="0" borderId="0" xfId="0" applyFont="1" applyAlignment="1" applyProtection="1">
      <alignment vertical="top"/>
      <protection locked="0"/>
    </xf>
    <xf numFmtId="0" fontId="3" fillId="0" borderId="0" xfId="1" applyFill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4" fillId="0" borderId="2" xfId="19" applyBorder="1" applyAlignment="1" applyProtection="1">
      <protection locked="0"/>
    </xf>
    <xf numFmtId="0" fontId="25" fillId="0" borderId="3" xfId="0" applyFont="1" applyBorder="1" applyAlignment="1" applyProtection="1">
      <alignment vertical="top"/>
      <protection locked="0"/>
    </xf>
    <xf numFmtId="0" fontId="5" fillId="0" borderId="4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7" fillId="2" borderId="5" xfId="2" applyAlignment="1" applyProtection="1">
      <alignment horizontal="center" vertical="top"/>
      <protection locked="0"/>
    </xf>
    <xf numFmtId="0" fontId="7" fillId="3" borderId="0" xfId="3" applyAlignment="1" applyProtection="1">
      <alignment horizontal="left" vertical="top"/>
      <protection locked="0"/>
    </xf>
    <xf numFmtId="0" fontId="11" fillId="3" borderId="0" xfId="3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18" fillId="0" borderId="0" xfId="0" applyFont="1" applyAlignment="1" applyProtection="1">
      <alignment vertical="top"/>
      <protection locked="0"/>
    </xf>
    <xf numFmtId="2" fontId="0" fillId="0" borderId="0" xfId="0" applyNumberFormat="1" applyAlignment="1" applyProtection="1">
      <alignment vertical="top"/>
      <protection locked="0"/>
    </xf>
    <xf numFmtId="0" fontId="0" fillId="0" borderId="0" xfId="0" applyProtection="1">
      <protection locked="0"/>
    </xf>
    <xf numFmtId="0" fontId="6" fillId="4" borderId="7" xfId="9" applyAlignment="1" applyProtection="1">
      <alignment horizontal="center" vertical="center"/>
      <protection locked="0"/>
    </xf>
    <xf numFmtId="0" fontId="6" fillId="4" borderId="7" xfId="9" applyAlignment="1" applyProtection="1">
      <alignment vertical="center" wrapText="1"/>
      <protection locked="0"/>
    </xf>
    <xf numFmtId="0" fontId="6" fillId="4" borderId="7" xfId="9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vertical="center" wrapText="1"/>
      <protection locked="0"/>
    </xf>
    <xf numFmtId="1" fontId="2" fillId="0" borderId="0" xfId="0" applyNumberFormat="1" applyFont="1" applyProtection="1"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vertical="center" wrapText="1"/>
      <protection locked="0"/>
    </xf>
    <xf numFmtId="0" fontId="19" fillId="0" borderId="0" xfId="0" applyFont="1" applyAlignment="1" applyProtection="1">
      <alignment wrapText="1"/>
      <protection locked="0"/>
    </xf>
    <xf numFmtId="166" fontId="16" fillId="11" borderId="12" xfId="20" applyNumberFormat="1" applyFont="1" applyFill="1" applyBorder="1" applyAlignment="1" applyProtection="1">
      <alignment vertical="center" wrapText="1"/>
      <protection locked="0"/>
    </xf>
    <xf numFmtId="0" fontId="16" fillId="11" borderId="12" xfId="0" applyFont="1" applyFill="1" applyBorder="1" applyAlignment="1" applyProtection="1">
      <alignment vertical="center" wrapText="1"/>
      <protection locked="0"/>
    </xf>
    <xf numFmtId="0" fontId="16" fillId="11" borderId="14" xfId="0" applyFont="1" applyFill="1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vertical="center" wrapText="1"/>
      <protection locked="0"/>
    </xf>
    <xf numFmtId="1" fontId="16" fillId="11" borderId="13" xfId="2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0" fontId="20" fillId="8" borderId="1" xfId="0" applyFont="1" applyFill="1" applyBorder="1" applyAlignment="1" applyProtection="1">
      <alignment horizontal="center" vertical="center" wrapText="1"/>
      <protection locked="0"/>
    </xf>
    <xf numFmtId="0" fontId="20" fillId="8" borderId="17" xfId="0" applyFont="1" applyFill="1" applyBorder="1" applyAlignment="1" applyProtection="1">
      <alignment horizontal="center" vertical="center" wrapText="1"/>
      <protection locked="0"/>
    </xf>
    <xf numFmtId="0" fontId="19" fillId="1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vertical="top"/>
      <protection locked="0"/>
    </xf>
    <xf numFmtId="166" fontId="16" fillId="0" borderId="1" xfId="20" applyNumberFormat="1" applyFont="1" applyBorder="1" applyAlignment="1" applyProtection="1">
      <alignment horizontal="right" vertical="top"/>
      <protection locked="0"/>
    </xf>
    <xf numFmtId="169" fontId="16" fillId="0" borderId="1" xfId="20" applyNumberFormat="1" applyFont="1" applyBorder="1" applyAlignment="1" applyProtection="1">
      <alignment vertical="top"/>
      <protection locked="0"/>
    </xf>
    <xf numFmtId="168" fontId="0" fillId="11" borderId="1" xfId="0" applyNumberFormat="1" applyFill="1" applyBorder="1" applyAlignment="1" applyProtection="1">
      <alignment horizontal="right"/>
      <protection locked="0"/>
    </xf>
    <xf numFmtId="168" fontId="0" fillId="9" borderId="1" xfId="0" applyNumberFormat="1" applyFill="1" applyBorder="1" applyAlignment="1" applyProtection="1">
      <alignment horizontal="right"/>
      <protection locked="0"/>
    </xf>
    <xf numFmtId="166" fontId="16" fillId="0" borderId="1" xfId="20" applyNumberFormat="1" applyFont="1" applyBorder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166" fontId="16" fillId="0" borderId="0" xfId="20" applyNumberFormat="1" applyFont="1" applyBorder="1" applyAlignment="1" applyProtection="1">
      <alignment vertical="top"/>
      <protection locked="0"/>
    </xf>
    <xf numFmtId="169" fontId="16" fillId="0" borderId="0" xfId="20" applyNumberFormat="1" applyFont="1" applyBorder="1" applyAlignment="1" applyProtection="1">
      <alignment vertical="top"/>
      <protection locked="0"/>
    </xf>
    <xf numFmtId="0" fontId="2" fillId="4" borderId="1" xfId="0" applyFont="1" applyFill="1" applyBorder="1" applyAlignment="1">
      <alignment vertical="top"/>
    </xf>
    <xf numFmtId="0" fontId="0" fillId="0" borderId="1" xfId="0" applyBorder="1" applyAlignment="1">
      <alignment horizontal="center" vertical="top"/>
    </xf>
    <xf numFmtId="0" fontId="21" fillId="8" borderId="1" xfId="0" applyFont="1" applyFill="1" applyBorder="1" applyAlignment="1">
      <alignment horizontal="center" vertical="center" wrapText="1"/>
    </xf>
    <xf numFmtId="168" fontId="16" fillId="0" borderId="1" xfId="0" applyNumberFormat="1" applyFont="1" applyBorder="1" applyAlignment="1">
      <alignment vertical="top"/>
    </xf>
    <xf numFmtId="166" fontId="16" fillId="9" borderId="13" xfId="20" applyNumberFormat="1" applyFont="1" applyFill="1" applyBorder="1" applyAlignment="1">
      <alignment horizontal="center" vertical="center" wrapText="1"/>
    </xf>
    <xf numFmtId="0" fontId="16" fillId="11" borderId="13" xfId="0" applyFont="1" applyFill="1" applyBorder="1" applyAlignment="1">
      <alignment vertical="center" wrapText="1"/>
    </xf>
    <xf numFmtId="0" fontId="16" fillId="9" borderId="13" xfId="0" applyFont="1" applyFill="1" applyBorder="1" applyAlignment="1">
      <alignment horizontal="right" vertical="center" wrapText="1"/>
    </xf>
    <xf numFmtId="0" fontId="2" fillId="10" borderId="17" xfId="0" applyFont="1" applyFill="1" applyBorder="1" applyAlignment="1" applyProtection="1">
      <alignment horizontal="center" vertical="top"/>
      <protection locked="0"/>
    </xf>
    <xf numFmtId="0" fontId="2" fillId="10" borderId="18" xfId="0" applyFont="1" applyFill="1" applyBorder="1" applyAlignment="1" applyProtection="1">
      <alignment horizontal="center" vertical="top"/>
      <protection locked="0"/>
    </xf>
    <xf numFmtId="0" fontId="21" fillId="8" borderId="10" xfId="0" applyFont="1" applyFill="1" applyBorder="1" applyAlignment="1" applyProtection="1">
      <alignment horizontal="center" vertical="top"/>
      <protection locked="0"/>
    </xf>
    <xf numFmtId="0" fontId="21" fillId="8" borderId="19" xfId="0" applyFont="1" applyFill="1" applyBorder="1" applyAlignment="1" applyProtection="1">
      <alignment horizontal="center" vertical="top"/>
      <protection locked="0"/>
    </xf>
    <xf numFmtId="0" fontId="21" fillId="8" borderId="10" xfId="0" applyFont="1" applyFill="1" applyBorder="1" applyAlignment="1">
      <alignment horizontal="center" vertical="top"/>
    </xf>
    <xf numFmtId="0" fontId="2" fillId="11" borderId="17" xfId="0" applyFont="1" applyFill="1" applyBorder="1" applyAlignment="1">
      <alignment horizontal="center" vertical="top"/>
    </xf>
    <xf numFmtId="0" fontId="2" fillId="11" borderId="18" xfId="0" applyFont="1" applyFill="1" applyBorder="1" applyAlignment="1">
      <alignment horizontal="center" vertical="top"/>
    </xf>
    <xf numFmtId="0" fontId="2" fillId="12" borderId="17" xfId="0" applyFont="1" applyFill="1" applyBorder="1" applyAlignment="1">
      <alignment horizontal="center" vertical="top"/>
    </xf>
    <xf numFmtId="0" fontId="2" fillId="12" borderId="18" xfId="0" applyFont="1" applyFill="1" applyBorder="1" applyAlignment="1">
      <alignment horizontal="center" vertical="top"/>
    </xf>
    <xf numFmtId="0" fontId="2" fillId="13" borderId="17" xfId="0" applyFont="1" applyFill="1" applyBorder="1" applyAlignment="1">
      <alignment horizontal="center" vertical="top"/>
    </xf>
    <xf numFmtId="0" fontId="2" fillId="13" borderId="18" xfId="0" applyFont="1" applyFill="1" applyBorder="1" applyAlignment="1">
      <alignment horizontal="center" vertical="top"/>
    </xf>
    <xf numFmtId="0" fontId="21" fillId="8" borderId="19" xfId="0" applyFont="1" applyFill="1" applyBorder="1" applyAlignment="1">
      <alignment horizontal="center" vertical="top"/>
    </xf>
    <xf numFmtId="0" fontId="2" fillId="10" borderId="17" xfId="0" applyFont="1" applyFill="1" applyBorder="1" applyAlignment="1">
      <alignment horizontal="center" vertical="top"/>
    </xf>
    <xf numFmtId="0" fontId="2" fillId="10" borderId="18" xfId="0" applyFont="1" applyFill="1" applyBorder="1" applyAlignment="1">
      <alignment horizontal="center" vertical="top"/>
    </xf>
    <xf numFmtId="0" fontId="6" fillId="4" borderId="10" xfId="9" applyBorder="1" applyAlignment="1">
      <alignment horizontal="center" vertical="center" wrapText="1"/>
    </xf>
    <xf numFmtId="166" fontId="38" fillId="14" borderId="20" xfId="20" applyNumberFormat="1" applyFont="1" applyFill="1" applyBorder="1" applyAlignment="1">
      <alignment horizontal="center" vertical="center" wrapText="1"/>
    </xf>
    <xf numFmtId="3" fontId="16" fillId="11" borderId="21" xfId="0" applyNumberFormat="1" applyFont="1" applyFill="1" applyBorder="1" applyAlignment="1">
      <alignment horizontal="center" vertical="center" wrapText="1"/>
    </xf>
    <xf numFmtId="3" fontId="16" fillId="11" borderId="2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32">
    <cellStyle name="20% - Accent1 2" xfId="31" xr:uid="{7756F19B-4B0E-4C68-B163-AC9144E335B1}"/>
    <cellStyle name="Assumptions" xfId="5" xr:uid="{00000000-0005-0000-0000-000000000000}"/>
    <cellStyle name="Calculation" xfId="14" builtinId="22" customBuiltin="1"/>
    <cellStyle name="Check Cell" xfId="16" builtinId="23" customBuiltin="1"/>
    <cellStyle name="Comma" xfId="20" builtinId="3"/>
    <cellStyle name="Comma 2" xfId="28" xr:uid="{4F9987E6-F437-4DC1-9DB3-B66C8B0287D4}"/>
    <cellStyle name="Comma 2 2" xfId="30" xr:uid="{2E532320-319A-4C77-8563-AB54B314474D}"/>
    <cellStyle name="Explanatory Text" xfId="6" builtinId="53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" xfId="1" builtinId="8"/>
    <cellStyle name="Input" xfId="12" builtinId="20" customBuiltin="1"/>
    <cellStyle name="Linked Cell" xfId="15" builtinId="24" customBuiltin="1"/>
    <cellStyle name="Normal" xfId="0" builtinId="0"/>
    <cellStyle name="Normal 2" xfId="22" xr:uid="{9AAC90E9-B4D0-4DA2-890D-14C60D884F01}"/>
    <cellStyle name="Normal 4" xfId="27" xr:uid="{BD3D51CB-EC27-4FC0-A9B2-DAD8B8B831F9}"/>
    <cellStyle name="Normal_Stroke" xfId="29" xr:uid="{4B15F29B-EEBA-498D-A495-55611129449B}"/>
    <cellStyle name="Note" xfId="17" builtinId="10" customBuiltin="1"/>
    <cellStyle name="Output" xfId="13" builtinId="21" customBuiltin="1"/>
    <cellStyle name="Outputs" xfId="26" xr:uid="{F7D204ED-1C51-40B4-B8CF-65E0DBEAAE95}"/>
    <cellStyle name="Per cent" xfId="21" builtinId="5"/>
    <cellStyle name="Section break 1" xfId="2" xr:uid="{00000000-0005-0000-0000-000009000000}"/>
    <cellStyle name="Section break 1 2" xfId="24" xr:uid="{91D855F5-DE71-4B66-AE20-2DE15AD39F20}"/>
    <cellStyle name="Section break 2" xfId="3" xr:uid="{00000000-0005-0000-0000-00000B000000}"/>
    <cellStyle name="Section break 2 2" xfId="25" xr:uid="{71D488EC-D007-4F3C-BB7A-BDC99BF888C6}"/>
    <cellStyle name="Subtitle" xfId="19" xr:uid="{8D874A9D-124A-42EC-AA1C-5CD31C5A5914}"/>
    <cellStyle name="Switches" xfId="4" xr:uid="{00000000-0005-0000-0000-00000D000000}"/>
    <cellStyle name="Title" xfId="7" builtinId="15" customBuiltin="1"/>
    <cellStyle name="Title 1" xfId="23" xr:uid="{9EBC539E-4BF6-41D1-B5F8-3663CFFA339D}"/>
    <cellStyle name="Total" xfId="18" builtinId="25" customBuiltin="1"/>
  </cellStyles>
  <dxfs count="61"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6EFCE"/>
      <color rgb="FFCCFFCC"/>
      <color rgb="FF9CF2C5"/>
      <color rgb="FF92B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eetMetadata" Target="metadata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149411</xdr:colOff>
      <xdr:row>14</xdr:row>
      <xdr:rowOff>313765</xdr:rowOff>
    </xdr:from>
    <xdr:to>
      <xdr:col>5</xdr:col>
      <xdr:colOff>418353</xdr:colOff>
      <xdr:row>18</xdr:row>
      <xdr:rowOff>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95FEB9D7-6488-FBEE-B03C-38E4A31BD3AB}"/>
            </a:ext>
          </a:extLst>
        </xdr:cNvPr>
        <xdr:cNvSpPr/>
      </xdr:nvSpPr>
      <xdr:spPr>
        <a:xfrm>
          <a:off x="7612529" y="3974353"/>
          <a:ext cx="268942" cy="1374588"/>
        </a:xfrm>
        <a:prstGeom prst="rightBrace">
          <a:avLst>
            <a:gd name="adj1" fmla="val 8333"/>
            <a:gd name="adj2" fmla="val 13043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652618</xdr:colOff>
      <xdr:row>4</xdr:row>
      <xdr:rowOff>168596</xdr:rowOff>
    </xdr:from>
    <xdr:to>
      <xdr:col>4</xdr:col>
      <xdr:colOff>1815278</xdr:colOff>
      <xdr:row>13</xdr:row>
      <xdr:rowOff>130109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8E998911-5648-9495-CE26-1A6575A1D7F0}"/>
            </a:ext>
          </a:extLst>
        </xdr:cNvPr>
        <xdr:cNvSpPr/>
      </xdr:nvSpPr>
      <xdr:spPr>
        <a:xfrm>
          <a:off x="1373853" y="960386"/>
          <a:ext cx="7230437" cy="2352563"/>
        </a:xfrm>
        <a:prstGeom prst="wedgeRectCallout">
          <a:avLst>
            <a:gd name="adj1" fmla="val 84026"/>
            <a:gd name="adj2" fmla="val 119984"/>
          </a:avLst>
        </a:prstGeom>
        <a:solidFill>
          <a:schemeClr val="accent6">
            <a:lumMod val="20000"/>
            <a:lumOff val="80000"/>
          </a:schemeClr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54000" tIns="36000" rIns="36000" bIns="36000" rtlCol="0" anchor="t" anchorCtr="0"/>
        <a:lstStyle/>
        <a:p>
          <a:pPr marL="0" indent="0" algn="l">
            <a:buClr>
              <a:schemeClr val="accent1"/>
            </a:buClr>
            <a:buFont typeface="Wingdings" panose="05000000000000000000" pitchFamily="2" charset="2"/>
            <a:buNone/>
          </a:pPr>
          <a:r>
            <a:rPr lang="en-GB" sz="1100" baseline="0" dirty="0">
              <a:solidFill>
                <a:schemeClr val="tx1"/>
              </a:solidFill>
            </a:rPr>
            <a:t>We can immediately see that this error check is flagging an issue.</a:t>
          </a:r>
          <a:br>
            <a:rPr lang="en-GB" sz="1100" baseline="0" dirty="0">
              <a:solidFill>
                <a:schemeClr val="tx1"/>
              </a:solidFill>
            </a:rPr>
          </a:br>
          <a:endParaRPr lang="en-GB" sz="1100" baseline="0" dirty="0">
            <a:solidFill>
              <a:schemeClr val="tx1"/>
            </a:solidFill>
          </a:endParaRPr>
        </a:p>
        <a:p>
          <a:pPr marL="0" indent="0" algn="l">
            <a:buClr>
              <a:schemeClr val="accent1"/>
            </a:buClr>
            <a:buFont typeface="Wingdings" panose="05000000000000000000" pitchFamily="2" charset="2"/>
            <a:buNone/>
          </a:pPr>
          <a:r>
            <a:rPr lang="en-GB" sz="1100" baseline="0" dirty="0">
              <a:solidFill>
                <a:schemeClr val="tx1"/>
              </a:solidFill>
            </a:rPr>
            <a:t>Looking at the formula in </a:t>
          </a:r>
          <a:r>
            <a:rPr lang="en-GB" sz="1100" b="1" baseline="0" dirty="0">
              <a:solidFill>
                <a:schemeClr val="tx1"/>
              </a:solidFill>
            </a:rPr>
            <a:t>cell G24</a:t>
          </a:r>
          <a:r>
            <a:rPr lang="en-GB" sz="1100" baseline="0" dirty="0">
              <a:solidFill>
                <a:schemeClr val="tx1"/>
              </a:solidFill>
            </a:rPr>
            <a:t>, the check is testing whether the value in </a:t>
          </a:r>
          <a:r>
            <a:rPr lang="en-GB" sz="1100" b="1" baseline="0" dirty="0">
              <a:solidFill>
                <a:schemeClr val="tx1"/>
              </a:solidFill>
            </a:rPr>
            <a:t>cell G19 </a:t>
          </a:r>
          <a:r>
            <a:rPr lang="en-GB" sz="1100" baseline="0" dirty="0">
              <a:solidFill>
                <a:schemeClr val="tx1"/>
              </a:solidFill>
            </a:rPr>
            <a:t>(people with an increase of more than 10 minutes) is lower than the value in </a:t>
          </a:r>
          <a:r>
            <a:rPr lang="en-GB" sz="1100" b="1" baseline="0" dirty="0">
              <a:solidFill>
                <a:schemeClr val="tx1"/>
              </a:solidFill>
            </a:rPr>
            <a:t>cell G16</a:t>
          </a:r>
          <a:r>
            <a:rPr lang="en-GB" sz="1100" baseline="0" dirty="0">
              <a:solidFill>
                <a:schemeClr val="tx1"/>
              </a:solidFill>
            </a:rPr>
            <a:t> (people with any increase in travel time).</a:t>
          </a:r>
        </a:p>
        <a:p>
          <a:pPr marL="177800" indent="-177800" algn="l">
            <a:buClr>
              <a:schemeClr val="accent1"/>
            </a:buClr>
            <a:buFont typeface="Wingdings" panose="05000000000000000000" pitchFamily="2" charset="2"/>
            <a:buChar char="§"/>
          </a:pPr>
          <a:endParaRPr lang="en-GB" sz="1100" baseline="0" dirty="0">
            <a:solidFill>
              <a:schemeClr val="tx1"/>
            </a:solidFill>
          </a:endParaRPr>
        </a:p>
        <a:p>
          <a:pPr marL="0" indent="0" algn="l">
            <a:buClr>
              <a:schemeClr val="accent1"/>
            </a:buClr>
            <a:buFont typeface="Wingdings" panose="05000000000000000000" pitchFamily="2" charset="2"/>
            <a:buNone/>
          </a:pPr>
          <a:r>
            <a:rPr lang="en-GB" sz="1100" baseline="0" dirty="0">
              <a:solidFill>
                <a:schemeClr val="tx1"/>
              </a:solidFill>
            </a:rPr>
            <a:t>This indicates that the error could be caused by one of two things:</a:t>
          </a:r>
        </a:p>
        <a:p>
          <a:pPr marL="177800" indent="-177800" algn="l">
            <a:buClr>
              <a:schemeClr val="accent1"/>
            </a:buClr>
            <a:buFont typeface="Wingdings" panose="05000000000000000000" pitchFamily="2" charset="2"/>
            <a:buChar char="§"/>
          </a:pPr>
          <a:r>
            <a:rPr lang="en-GB" sz="1100" baseline="0" dirty="0">
              <a:solidFill>
                <a:schemeClr val="tx1"/>
              </a:solidFill>
            </a:rPr>
            <a:t>The value in </a:t>
          </a:r>
          <a:r>
            <a:rPr lang="en-GB" sz="1100" b="1" baseline="0" dirty="0">
              <a:solidFill>
                <a:schemeClr val="tx1"/>
              </a:solidFill>
            </a:rPr>
            <a:t>G16</a:t>
          </a:r>
          <a:r>
            <a:rPr lang="en-GB" sz="1100" baseline="0" dirty="0">
              <a:solidFill>
                <a:schemeClr val="tx1"/>
              </a:solidFill>
            </a:rPr>
            <a:t> is too low, or</a:t>
          </a:r>
        </a:p>
        <a:p>
          <a:pPr marL="177800" indent="-177800" algn="l">
            <a:buClr>
              <a:schemeClr val="accent1"/>
            </a:buClr>
            <a:buFont typeface="Wingdings" panose="05000000000000000000" pitchFamily="2" charset="2"/>
            <a:buChar char="§"/>
          </a:pPr>
          <a:r>
            <a:rPr lang="en-GB" sz="1100" baseline="0" dirty="0">
              <a:solidFill>
                <a:schemeClr val="tx1"/>
              </a:solidFill>
            </a:rPr>
            <a:t>The value in </a:t>
          </a:r>
          <a:r>
            <a:rPr lang="en-GB" sz="1100" b="1" baseline="0" dirty="0">
              <a:solidFill>
                <a:schemeClr val="tx1"/>
              </a:solidFill>
            </a:rPr>
            <a:t>G19</a:t>
          </a:r>
          <a:r>
            <a:rPr lang="en-GB" sz="1100" baseline="0" dirty="0">
              <a:solidFill>
                <a:schemeClr val="tx1"/>
              </a:solidFill>
            </a:rPr>
            <a:t> is too high.</a:t>
          </a:r>
        </a:p>
        <a:p>
          <a:pPr marL="177800" indent="-177800" algn="l">
            <a:buClr>
              <a:schemeClr val="accent1"/>
            </a:buClr>
            <a:buFont typeface="Wingdings" panose="05000000000000000000" pitchFamily="2" charset="2"/>
            <a:buChar char="§"/>
          </a:pPr>
          <a:endParaRPr lang="en-GB" sz="1100" baseline="0" dirty="0">
            <a:solidFill>
              <a:schemeClr val="tx1"/>
            </a:solidFill>
          </a:endParaRPr>
        </a:p>
        <a:p>
          <a:pPr marL="0" indent="0" algn="l">
            <a:buClr>
              <a:schemeClr val="accent1"/>
            </a:buClr>
            <a:buFont typeface="Wingdings" panose="05000000000000000000" pitchFamily="2" charset="2"/>
            <a:buNone/>
          </a:pPr>
          <a:r>
            <a:rPr lang="en-GB" sz="1100" baseline="0" dirty="0">
              <a:solidFill>
                <a:schemeClr val="tx1"/>
              </a:solidFill>
            </a:rPr>
            <a:t>Examining these two cells, the value in </a:t>
          </a:r>
          <a:r>
            <a:rPr lang="en-GB" sz="1100" b="1" baseline="0" dirty="0">
              <a:solidFill>
                <a:schemeClr val="tx1"/>
              </a:solidFill>
            </a:rPr>
            <a:t>G19</a:t>
          </a:r>
          <a:r>
            <a:rPr lang="en-GB" sz="1100" baseline="0" dirty="0">
              <a:solidFill>
                <a:schemeClr val="tx1"/>
              </a:solidFill>
            </a:rPr>
            <a:t> appears unrealistic, suggesting the problem lies there.</a:t>
          </a:r>
          <a:br>
            <a:rPr lang="en-GB" sz="1100" baseline="0" dirty="0">
              <a:solidFill>
                <a:schemeClr val="tx1"/>
              </a:solidFill>
            </a:rPr>
          </a:br>
          <a:r>
            <a:rPr lang="en-GB" sz="1100" baseline="0" dirty="0">
              <a:solidFill>
                <a:schemeClr val="tx1"/>
              </a:solidFill>
            </a:rPr>
            <a:t>Inspecting the formula in G19, we can see that the </a:t>
          </a:r>
          <a:r>
            <a:rPr lang="en-GB" sz="1100" b="1" baseline="0" dirty="0">
              <a:solidFill>
                <a:schemeClr val="tx1"/>
              </a:solidFill>
            </a:rPr>
            <a:t>“&lt;” operator is reversed</a:t>
          </a:r>
          <a:r>
            <a:rPr lang="en-GB" sz="1100" baseline="0" dirty="0">
              <a:solidFill>
                <a:schemeClr val="tx1"/>
              </a:solidFill>
            </a:rPr>
            <a:t>.</a:t>
          </a:r>
          <a:br>
            <a:rPr lang="en-GB" sz="1100" baseline="0" dirty="0">
              <a:solidFill>
                <a:schemeClr val="tx1"/>
              </a:solidFill>
            </a:rPr>
          </a:br>
          <a:r>
            <a:rPr lang="en-GB" sz="1100" baseline="0" dirty="0">
              <a:solidFill>
                <a:schemeClr val="tx1"/>
              </a:solidFill>
            </a:rPr>
            <a:t>Correcting this (or using the helper column) will fix the error.</a:t>
          </a:r>
        </a:p>
        <a:p>
          <a:pPr marL="177800" indent="-177800" algn="l">
            <a:buClr>
              <a:schemeClr val="accent1"/>
            </a:buClr>
            <a:buFont typeface="Wingdings" panose="05000000000000000000" pitchFamily="2" charset="2"/>
            <a:buChar char="§"/>
          </a:pPr>
          <a:endParaRPr lang="en-GB" sz="1100" baseline="0" dirty="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2020Delivery">
  <a:themeElements>
    <a:clrScheme name="The PSC v1">
      <a:dk1>
        <a:srgbClr val="3D454B"/>
      </a:dk1>
      <a:lt1>
        <a:srgbClr val="FFFFFF"/>
      </a:lt1>
      <a:dk2>
        <a:srgbClr val="1B1E56"/>
      </a:dk2>
      <a:lt2>
        <a:srgbClr val="FDDE7A"/>
      </a:lt2>
      <a:accent1>
        <a:srgbClr val="1B1E56"/>
      </a:accent1>
      <a:accent2>
        <a:srgbClr val="FDDE7A"/>
      </a:accent2>
      <a:accent3>
        <a:srgbClr val="065252"/>
      </a:accent3>
      <a:accent4>
        <a:srgbClr val="4C2C49"/>
      </a:accent4>
      <a:accent5>
        <a:srgbClr val="F65244"/>
      </a:accent5>
      <a:accent6>
        <a:srgbClr val="CCCDC1"/>
      </a:accent6>
      <a:hlink>
        <a:srgbClr val="484FC6"/>
      </a:hlink>
      <a:folHlink>
        <a:srgbClr val="1B1E56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9525">
          <a:solidFill>
            <a:schemeClr val="tx1"/>
          </a:solidFill>
        </a:ln>
      </a:spPr>
      <a:bodyPr lIns="54000" tIns="36000" rIns="36000" bIns="36000" rtlCol="0" anchor="t" anchorCtr="0"/>
      <a:lstStyle>
        <a:defPPr marL="177800" indent="-177800" algn="l">
          <a:buClr>
            <a:schemeClr val="accent1"/>
          </a:buClr>
          <a:buFont typeface="Wingdings" panose="05000000000000000000" pitchFamily="2" charset="2"/>
          <a:buChar char="§"/>
          <a:defRPr sz="14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2020Delivery" id="{1857D91F-38D0-4479-B295-627403C3AFB9}" vid="{F3276E8C-ED61-488D-BEBF-D70AA945885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453B8-EA96-4820-86F7-15884B8C99A6}">
  <sheetPr>
    <tabColor theme="0"/>
  </sheetPr>
  <dimension ref="A1:Q40"/>
  <sheetViews>
    <sheetView showGridLines="0" tabSelected="1" zoomScaleNormal="100" workbookViewId="0"/>
  </sheetViews>
  <sheetFormatPr defaultColWidth="9" defaultRowHeight="13.5"/>
  <cols>
    <col min="1" max="2" width="3.625" style="1" customWidth="1"/>
    <col min="3" max="3" width="74" style="1" bestFit="1" customWidth="1"/>
    <col min="4" max="4" width="13.75" style="1" customWidth="1"/>
    <col min="5" max="9" width="20.5" style="1" customWidth="1"/>
    <col min="10" max="11" width="9" style="1"/>
    <col min="12" max="13" width="9" style="1" customWidth="1"/>
    <col min="14" max="16384" width="9" style="1"/>
  </cols>
  <sheetData>
    <row r="1" spans="1:17" s="7" customFormat="1" ht="19.5">
      <c r="A1" s="8"/>
      <c r="B1" s="1"/>
      <c r="C1" s="18" t="e">
        <f ca="1">MID(CELL("filename",A1),FIND("]",CELL("filename",A1))+1,LEN(CELL("filename",A1))-FIND("]",CELL("filename",A1)))</f>
        <v>#VALUE!</v>
      </c>
      <c r="D1" s="10"/>
      <c r="E1" s="11"/>
      <c r="F1" s="12" t="s">
        <v>0</v>
      </c>
      <c r="G1" s="13" t="e">
        <f ca="1">MID(CELL("filename",G1),FIND(" v",CELL("filename",G1))+1,FIND(".xls",CELL("filename",G1))-FIND(" v",CELL("filename",G1))-1)</f>
        <v>#VALUE!</v>
      </c>
      <c r="H1" s="14">
        <f ca="1">TODAY()</f>
        <v>46010</v>
      </c>
      <c r="I1" s="15">
        <f ca="1">NOW()</f>
        <v>46010.527948148148</v>
      </c>
    </row>
    <row r="2" spans="1:17" s="3" customFormat="1" ht="14.1">
      <c r="A2" s="4"/>
      <c r="C2" s="19"/>
      <c r="D2" s="16"/>
      <c r="E2" s="16"/>
      <c r="F2" s="16"/>
      <c r="G2" s="16"/>
      <c r="H2" s="16"/>
      <c r="I2" s="17"/>
      <c r="K2" s="20" t="s">
        <v>1</v>
      </c>
    </row>
    <row r="4" spans="1:17" s="6" customFormat="1">
      <c r="A4" s="5">
        <v>1</v>
      </c>
      <c r="B4" s="6" t="s">
        <v>2</v>
      </c>
    </row>
    <row r="5" spans="1:17">
      <c r="A5" s="2"/>
      <c r="B5" s="2"/>
    </row>
    <row r="6" spans="1:17" ht="15">
      <c r="B6" s="43" t="s">
        <v>3</v>
      </c>
      <c r="G6"/>
      <c r="H6"/>
      <c r="I6"/>
      <c r="J6"/>
      <c r="K6"/>
      <c r="L6"/>
      <c r="M6"/>
      <c r="N6"/>
      <c r="O6"/>
      <c r="P6"/>
      <c r="Q6"/>
    </row>
    <row r="7" spans="1:17">
      <c r="G7"/>
      <c r="H7"/>
      <c r="I7"/>
      <c r="J7"/>
      <c r="K7"/>
      <c r="L7"/>
      <c r="M7"/>
      <c r="N7"/>
      <c r="O7"/>
      <c r="P7"/>
      <c r="Q7"/>
    </row>
    <row r="8" spans="1:17" customFormat="1" ht="18.600000000000001" customHeight="1">
      <c r="B8" s="28" t="s">
        <v>4</v>
      </c>
      <c r="C8" s="29" t="s">
        <v>5</v>
      </c>
      <c r="D8" s="30" t="s">
        <v>6</v>
      </c>
      <c r="E8" s="21"/>
    </row>
    <row r="9" spans="1:17" customFormat="1" ht="18.600000000000001" customHeight="1">
      <c r="B9" s="31">
        <v>1</v>
      </c>
      <c r="C9" s="32" t="s">
        <v>7</v>
      </c>
      <c r="D9" s="51" t="s">
        <v>6</v>
      </c>
      <c r="E9" s="21"/>
    </row>
    <row r="10" spans="1:17" customFormat="1" ht="24" customHeight="1">
      <c r="B10" s="33">
        <v>2</v>
      </c>
      <c r="C10" s="36" t="s">
        <v>8</v>
      </c>
      <c r="D10" s="34" t="s">
        <v>9</v>
      </c>
      <c r="E10" s="21"/>
    </row>
    <row r="11" spans="1:17" customFormat="1" ht="24" customHeight="1">
      <c r="B11" s="33">
        <v>3</v>
      </c>
      <c r="C11" s="34" t="s">
        <v>10</v>
      </c>
      <c r="D11" s="45"/>
      <c r="E11" s="21"/>
    </row>
    <row r="12" spans="1:17" customFormat="1" ht="24" customHeight="1">
      <c r="B12" s="33">
        <v>4</v>
      </c>
      <c r="C12" s="36" t="s">
        <v>11</v>
      </c>
      <c r="D12" s="95">
        <v>100000</v>
      </c>
      <c r="E12" s="21"/>
    </row>
    <row r="13" spans="1:17" customFormat="1" ht="24.95" customHeight="1">
      <c r="B13" s="33">
        <v>5</v>
      </c>
      <c r="C13" s="34" t="s">
        <v>12</v>
      </c>
      <c r="D13" s="35">
        <v>0.64400000000000002</v>
      </c>
      <c r="E13" s="21"/>
    </row>
    <row r="14" spans="1:17" customFormat="1" ht="24.95">
      <c r="B14" s="33">
        <v>7</v>
      </c>
      <c r="C14" s="36" t="s">
        <v>13</v>
      </c>
      <c r="D14" s="46"/>
      <c r="E14" s="21"/>
    </row>
    <row r="15" spans="1:17" customFormat="1" ht="24" customHeight="1">
      <c r="B15" s="33">
        <v>8</v>
      </c>
      <c r="C15" s="36" t="s">
        <v>14</v>
      </c>
      <c r="D15" s="37"/>
      <c r="E15" s="21"/>
    </row>
    <row r="16" spans="1:17" customFormat="1" ht="17.100000000000001" customHeight="1">
      <c r="B16" s="40"/>
      <c r="C16" s="22" t="s">
        <v>15</v>
      </c>
      <c r="D16" s="42" t="s">
        <v>16</v>
      </c>
      <c r="E16" s="21"/>
    </row>
    <row r="17" spans="1:9" customFormat="1" ht="17.100000000000001" customHeight="1">
      <c r="B17" s="24"/>
      <c r="C17" s="22" t="s">
        <v>17</v>
      </c>
      <c r="D17" s="25" t="s">
        <v>18</v>
      </c>
      <c r="E17" s="21"/>
    </row>
    <row r="18" spans="1:9" customFormat="1" ht="17.100000000000001" customHeight="1">
      <c r="B18" s="26"/>
      <c r="C18" s="27" t="s">
        <v>19</v>
      </c>
      <c r="D18" s="85" t="s">
        <v>20</v>
      </c>
      <c r="E18" s="21"/>
    </row>
    <row r="19" spans="1:9">
      <c r="C19" s="23"/>
    </row>
    <row r="20" spans="1:9" s="6" customFormat="1">
      <c r="A20" s="5">
        <v>2</v>
      </c>
      <c r="B20" s="6" t="s">
        <v>21</v>
      </c>
    </row>
    <row r="22" spans="1:9" s="50" customFormat="1" ht="41.1" customHeight="1">
      <c r="C22" t="s">
        <v>22</v>
      </c>
      <c r="D22" t="s">
        <v>23</v>
      </c>
      <c r="E22" t="s">
        <v>24</v>
      </c>
      <c r="F22" t="s">
        <v>25</v>
      </c>
      <c r="G22" t="s">
        <v>26</v>
      </c>
      <c r="H22" t="s">
        <v>27</v>
      </c>
      <c r="I22" t="s">
        <v>28</v>
      </c>
    </row>
    <row r="23" spans="1:9">
      <c r="C23" t="s">
        <v>29</v>
      </c>
      <c r="D23" s="168">
        <v>53273</v>
      </c>
      <c r="E23">
        <v>0.71</v>
      </c>
      <c r="F23">
        <v>21.2</v>
      </c>
      <c r="G23">
        <v>9.9</v>
      </c>
      <c r="H23">
        <v>19.3</v>
      </c>
      <c r="I23">
        <v>32.700000000000003</v>
      </c>
    </row>
    <row r="24" spans="1:9">
      <c r="C24" t="s">
        <v>30</v>
      </c>
      <c r="D24" s="168">
        <v>61583</v>
      </c>
      <c r="E24">
        <v>0.65200000000000002</v>
      </c>
      <c r="F24">
        <v>23.4</v>
      </c>
      <c r="G24">
        <v>11.7</v>
      </c>
      <c r="H24">
        <v>12.9</v>
      </c>
      <c r="I24">
        <v>29.7</v>
      </c>
    </row>
    <row r="25" spans="1:9">
      <c r="C25" t="s">
        <v>31</v>
      </c>
      <c r="D25" s="168">
        <v>132840</v>
      </c>
      <c r="E25">
        <v>0.90600000000000003</v>
      </c>
      <c r="F25">
        <v>20.995200000000004</v>
      </c>
      <c r="G25">
        <v>11.664000000000001</v>
      </c>
      <c r="H25">
        <v>6.48</v>
      </c>
      <c r="I25">
        <v>12.3</v>
      </c>
    </row>
    <row r="26" spans="1:9">
      <c r="C26" t="s">
        <v>32</v>
      </c>
      <c r="D26" s="168">
        <v>128630</v>
      </c>
      <c r="E26">
        <v>0.63800000000000001</v>
      </c>
      <c r="F26">
        <v>26.3</v>
      </c>
      <c r="G26">
        <v>9.4</v>
      </c>
      <c r="H26">
        <v>22.8</v>
      </c>
      <c r="I26">
        <v>32.200000000000003</v>
      </c>
    </row>
    <row r="27" spans="1:9">
      <c r="C27" t="s">
        <v>33</v>
      </c>
      <c r="D27" s="168">
        <v>38597</v>
      </c>
      <c r="E27">
        <v>0.82</v>
      </c>
      <c r="F27">
        <v>39.200000000000003</v>
      </c>
      <c r="G27">
        <v>42.4</v>
      </c>
      <c r="H27">
        <v>12.2</v>
      </c>
      <c r="I27">
        <v>37.299999999999997</v>
      </c>
    </row>
    <row r="28" spans="1:9">
      <c r="C28" t="s">
        <v>34</v>
      </c>
      <c r="D28" s="168">
        <v>45853</v>
      </c>
      <c r="E28">
        <v>0.79800000000000004</v>
      </c>
      <c r="F28">
        <v>38.4</v>
      </c>
      <c r="G28">
        <v>21.1</v>
      </c>
      <c r="H28">
        <v>5.4</v>
      </c>
      <c r="I28">
        <v>27.3</v>
      </c>
    </row>
    <row r="29" spans="1:9">
      <c r="C29" t="s">
        <v>35</v>
      </c>
      <c r="D29" s="168">
        <v>131887</v>
      </c>
      <c r="E29">
        <v>0.91400000000000003</v>
      </c>
      <c r="F29">
        <v>10.4</v>
      </c>
      <c r="G29">
        <v>17.600000000000001</v>
      </c>
      <c r="H29">
        <v>25.3</v>
      </c>
      <c r="I29">
        <v>30.36</v>
      </c>
    </row>
    <row r="30" spans="1:9">
      <c r="C30" t="s">
        <v>36</v>
      </c>
      <c r="D30" s="168">
        <v>86593</v>
      </c>
      <c r="E30">
        <v>0.91400000000000003</v>
      </c>
      <c r="F30">
        <v>18.7</v>
      </c>
      <c r="G30">
        <v>8.1999999999999993</v>
      </c>
      <c r="H30">
        <v>34.6</v>
      </c>
      <c r="I30">
        <v>11.7</v>
      </c>
    </row>
    <row r="31" spans="1:9">
      <c r="C31" t="s">
        <v>37</v>
      </c>
      <c r="D31" s="168">
        <v>131850</v>
      </c>
      <c r="E31">
        <v>0.63800000000000001</v>
      </c>
      <c r="F31">
        <v>21.7</v>
      </c>
      <c r="G31">
        <v>7.9</v>
      </c>
      <c r="H31">
        <v>23</v>
      </c>
      <c r="I31">
        <v>11</v>
      </c>
    </row>
    <row r="32" spans="1:9">
      <c r="C32" t="s">
        <v>38</v>
      </c>
      <c r="D32" s="168">
        <v>44303</v>
      </c>
      <c r="E32">
        <v>0.65700000000000003</v>
      </c>
      <c r="F32">
        <v>22.2</v>
      </c>
      <c r="G32">
        <v>28.9</v>
      </c>
      <c r="H32">
        <v>17.899999999999999</v>
      </c>
      <c r="I32">
        <v>31.9</v>
      </c>
    </row>
    <row r="33" spans="1:9">
      <c r="C33" t="s">
        <v>39</v>
      </c>
      <c r="D33" s="168">
        <v>42793</v>
      </c>
      <c r="E33">
        <v>0.91800000000000004</v>
      </c>
      <c r="F33">
        <v>6.5</v>
      </c>
      <c r="G33">
        <v>25.9</v>
      </c>
      <c r="H33">
        <v>21.2</v>
      </c>
      <c r="I33">
        <v>23.2</v>
      </c>
    </row>
    <row r="34" spans="1:9">
      <c r="C34" t="s">
        <v>40</v>
      </c>
      <c r="D34" s="168">
        <v>36850</v>
      </c>
      <c r="E34">
        <v>0.72</v>
      </c>
      <c r="F34">
        <v>21.4</v>
      </c>
      <c r="G34">
        <v>21</v>
      </c>
      <c r="H34">
        <v>33.700000000000003</v>
      </c>
      <c r="I34">
        <v>13.4</v>
      </c>
    </row>
    <row r="35" spans="1:9">
      <c r="C35" t="s">
        <v>41</v>
      </c>
      <c r="D35" s="168">
        <v>89440</v>
      </c>
      <c r="E35">
        <v>0.83599999999999997</v>
      </c>
      <c r="F35">
        <v>24</v>
      </c>
      <c r="G35">
        <v>21.5</v>
      </c>
      <c r="H35">
        <v>23.7</v>
      </c>
      <c r="I35">
        <v>18.399999999999999</v>
      </c>
    </row>
    <row r="36" spans="1:9">
      <c r="C36" t="s">
        <v>42</v>
      </c>
      <c r="D36" s="168">
        <v>52483</v>
      </c>
      <c r="E36">
        <v>0.79100000000000004</v>
      </c>
      <c r="F36">
        <v>4.5999999999999996</v>
      </c>
      <c r="G36">
        <v>38.24</v>
      </c>
      <c r="H36">
        <v>29.2</v>
      </c>
      <c r="I36">
        <v>34.299999999999997</v>
      </c>
    </row>
    <row r="37" spans="1:9">
      <c r="D37" s="167"/>
    </row>
    <row r="40" spans="1:9" s="6" customFormat="1">
      <c r="A40" s="92" t="s">
        <v>43</v>
      </c>
      <c r="B40" s="6" t="s">
        <v>44</v>
      </c>
    </row>
  </sheetData>
  <conditionalFormatting sqref="D16">
    <cfRule type="containsText" dxfId="60" priority="6" operator="containsText" text="High">
      <formula>NOT(ISERROR(SEARCH("High",D16)))</formula>
    </cfRule>
  </conditionalFormatting>
  <conditionalFormatting sqref="D17">
    <cfRule type="containsText" dxfId="59" priority="5" operator="containsText" text="Medium">
      <formula>NOT(ISERROR(SEARCH("Medium",D17)))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996F6AA-AEF3-41FA-AA54-3812B1109BAA}">
            <xm:f>NOT(ISERROR(SEARCH($E$15,D18)))</xm:f>
            <xm:f>$E$15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D18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FAE7-AB16-4750-8A5A-1A69385FCA13}">
  <sheetPr>
    <tabColor theme="0"/>
  </sheetPr>
  <dimension ref="A1:Q45"/>
  <sheetViews>
    <sheetView showGridLines="0" zoomScaleNormal="100" workbookViewId="0">
      <selection activeCell="C2" sqref="C2"/>
    </sheetView>
  </sheetViews>
  <sheetFormatPr defaultColWidth="9" defaultRowHeight="14.1"/>
  <cols>
    <col min="1" max="1" width="3.625" style="1" customWidth="1"/>
    <col min="2" max="2" width="5.875" style="1" customWidth="1"/>
    <col min="3" max="3" width="59.875" style="1" customWidth="1"/>
    <col min="4" max="8" width="23.875" style="20" customWidth="1"/>
    <col min="9" max="10" width="23.875" style="1" customWidth="1"/>
    <col min="11" max="13" width="24.25" style="1" customWidth="1"/>
    <col min="14" max="17" width="24.625" style="1" customWidth="1"/>
    <col min="18" max="16384" width="9" style="1"/>
  </cols>
  <sheetData>
    <row r="1" spans="1:13" s="7" customFormat="1" ht="19.5">
      <c r="A1" s="8"/>
      <c r="B1" s="1"/>
      <c r="C1" s="18" t="e">
        <f ca="1">MID(CELL("filename",A1),FIND("]",CELL("filename",A1))+1,LEN(CELL("filename",A1))-FIND("]",CELL("filename",A1)))</f>
        <v>#VALUE!</v>
      </c>
      <c r="D1" s="69"/>
      <c r="E1" s="70"/>
      <c r="F1" s="71" t="s">
        <v>0</v>
      </c>
      <c r="G1" s="72" t="e">
        <f ca="1">MID(CELL("filename",G1),FIND(" v",CELL("filename",G1))+1,FIND(".xls",CELL("filename",G1))-FIND(" v",CELL("filename",G1))-1)</f>
        <v>#VALUE!</v>
      </c>
      <c r="H1" s="73">
        <f ca="1">TODAY()</f>
        <v>46010</v>
      </c>
      <c r="I1" s="15">
        <f ca="1">NOW()</f>
        <v>46010.527948148148</v>
      </c>
    </row>
    <row r="2" spans="1:13" s="3" customFormat="1">
      <c r="A2" s="4"/>
      <c r="C2" s="19"/>
      <c r="D2" s="74"/>
      <c r="E2" s="74"/>
      <c r="F2" s="74"/>
      <c r="G2" s="74"/>
      <c r="H2" s="74"/>
      <c r="I2" s="17"/>
      <c r="K2" s="20" t="s">
        <v>1</v>
      </c>
    </row>
    <row r="4" spans="1:13" s="6" customFormat="1">
      <c r="A4" s="5">
        <v>1</v>
      </c>
      <c r="B4" s="6" t="s">
        <v>2</v>
      </c>
      <c r="D4" s="75"/>
      <c r="E4" s="75"/>
      <c r="F4" s="75"/>
      <c r="G4" s="75"/>
      <c r="H4" s="75"/>
    </row>
    <row r="5" spans="1:13">
      <c r="A5" s="2"/>
      <c r="B5" s="2"/>
    </row>
    <row r="6" spans="1:13" ht="15">
      <c r="B6" s="43" t="s">
        <v>278</v>
      </c>
      <c r="L6" s="9"/>
      <c r="M6" s="9"/>
    </row>
    <row r="7" spans="1:13">
      <c r="L7" s="9"/>
      <c r="M7" s="9"/>
    </row>
    <row r="8" spans="1:13" customFormat="1" ht="18.600000000000001" customHeight="1">
      <c r="B8" s="83" t="s">
        <v>4</v>
      </c>
      <c r="C8" s="84" t="s">
        <v>5</v>
      </c>
      <c r="D8" s="249" t="s">
        <v>58</v>
      </c>
      <c r="E8" s="249"/>
      <c r="F8" s="49"/>
      <c r="G8" s="49"/>
      <c r="H8" s="49"/>
    </row>
    <row r="9" spans="1:13" customFormat="1" ht="33" customHeight="1">
      <c r="B9" s="96">
        <v>1</v>
      </c>
      <c r="C9" s="97" t="s">
        <v>279</v>
      </c>
      <c r="D9" s="250" t="b">
        <f>G24</f>
        <v>0</v>
      </c>
      <c r="E9" s="250"/>
      <c r="F9" s="49"/>
      <c r="G9" s="49"/>
      <c r="H9" s="49"/>
    </row>
    <row r="10" spans="1:13" customFormat="1" ht="33" customHeight="1">
      <c r="B10" s="33">
        <v>2</v>
      </c>
      <c r="C10" s="36" t="s">
        <v>280</v>
      </c>
      <c r="D10" s="251"/>
      <c r="E10" s="251"/>
      <c r="F10" s="253" t="s">
        <v>281</v>
      </c>
      <c r="G10" s="49"/>
      <c r="H10" s="49"/>
    </row>
    <row r="11" spans="1:13" customFormat="1" ht="33" customHeight="1">
      <c r="B11" s="38">
        <v>3</v>
      </c>
      <c r="C11" s="39" t="s">
        <v>282</v>
      </c>
      <c r="D11" s="252"/>
      <c r="E11" s="252"/>
      <c r="F11" s="253"/>
      <c r="G11" s="49"/>
      <c r="H11" s="49"/>
    </row>
    <row r="12" spans="1:13">
      <c r="C12" s="23"/>
    </row>
    <row r="13" spans="1:13" s="6" customFormat="1">
      <c r="A13" s="5">
        <v>2</v>
      </c>
      <c r="B13" s="6" t="s">
        <v>260</v>
      </c>
      <c r="D13" s="75"/>
      <c r="E13" s="75"/>
      <c r="F13" s="75"/>
      <c r="G13" s="75"/>
      <c r="H13" s="75"/>
    </row>
    <row r="14" spans="1:13" customFormat="1" ht="13.5"/>
    <row r="15" spans="1:13">
      <c r="C15" s="23"/>
      <c r="D15" s="162" t="s">
        <v>261</v>
      </c>
      <c r="E15" s="163" t="s">
        <v>262</v>
      </c>
      <c r="F15" s="164" t="s">
        <v>263</v>
      </c>
      <c r="G15" s="165" t="s">
        <v>264</v>
      </c>
      <c r="I15" s="228" t="s">
        <v>243</v>
      </c>
    </row>
    <row r="16" spans="1:13">
      <c r="C16" s="155" t="s">
        <v>283</v>
      </c>
      <c r="D16" s="159">
        <f>SUMIF($K$30:$K$43,$I$16,$D$30:$D$43)</f>
        <v>227163</v>
      </c>
      <c r="E16" s="159">
        <f>SUMIF($M$30:$M$43,I16,$D$30:$D$43)</f>
        <v>461929</v>
      </c>
      <c r="F16" s="159">
        <f>SUMIF($O$30:$O$43,I16,$D$30:$D$43)</f>
        <v>261593</v>
      </c>
      <c r="G16" s="159">
        <f>SUMIF($Q$30:$Q$43,I16,$D$30:$D$43)</f>
        <v>126290</v>
      </c>
      <c r="I16" s="229" t="s">
        <v>270</v>
      </c>
    </row>
    <row r="17" spans="1:17">
      <c r="C17" s="156" t="s">
        <v>284</v>
      </c>
      <c r="D17" s="160">
        <f>D16/SUM($D$30:$D$43)</f>
        <v>0.21092690173866618</v>
      </c>
      <c r="E17" s="160">
        <f>E16/SUM($D$30:$D$43)</f>
        <v>0.42891339167575848</v>
      </c>
      <c r="F17" s="160">
        <f>F16/SUM($D$30:$D$43)</f>
        <v>0.24289607465354349</v>
      </c>
      <c r="G17" s="160">
        <f>G16/SUM($D$30:$D$43)</f>
        <v>0.11726363193203185</v>
      </c>
    </row>
    <row r="18" spans="1:17">
      <c r="C18" s="154"/>
    </row>
    <row r="19" spans="1:17">
      <c r="C19" s="157" t="s">
        <v>285</v>
      </c>
      <c r="D19" s="159">
        <f>SUMIF($K$30:$K$43,I19,$D$30:$D$43)</f>
        <v>95276</v>
      </c>
      <c r="E19" s="159">
        <f>SUMIF($M$30:$M$43,I19,$D$30:$D$43)</f>
        <v>128630</v>
      </c>
      <c r="F19" s="159">
        <f>SUMIF($O$30:$O$43,I19,$D$30:$D$43)</f>
        <v>84450</v>
      </c>
      <c r="G19" s="159">
        <f>SUMIF($Q$30:$Q$43,"&lt;10",$D$30:$D$43)</f>
        <v>1076975</v>
      </c>
      <c r="I19" s="229" t="s">
        <v>271</v>
      </c>
    </row>
    <row r="20" spans="1:17">
      <c r="C20" s="156" t="s">
        <v>284</v>
      </c>
      <c r="D20" s="160">
        <f>D19/SUM($D$30:$D$43)</f>
        <v>8.8466306088813576E-2</v>
      </c>
      <c r="E20" s="160">
        <f>E19/SUM($D$30:$D$43)</f>
        <v>0.1194363843171847</v>
      </c>
      <c r="F20" s="160">
        <f>F19/SUM($D$30:$D$43)</f>
        <v>7.8414076464170479E-2</v>
      </c>
      <c r="G20" s="160">
        <f>G19/SUM($D$30:$D$43)</f>
        <v>1</v>
      </c>
    </row>
    <row r="21" spans="1:17">
      <c r="C21" s="23"/>
    </row>
    <row r="22" spans="1:17">
      <c r="C22" s="157" t="s">
        <v>268</v>
      </c>
      <c r="D22" s="161">
        <f>MAX(K30:K43)</f>
        <v>24.6</v>
      </c>
      <c r="E22" s="161">
        <f>MAX(M30:M43)</f>
        <v>13.4</v>
      </c>
      <c r="F22" s="161">
        <f>MAX(O30:O43)</f>
        <v>25.099999999999998</v>
      </c>
      <c r="G22" s="161">
        <f>MAX(Q30:Q43)</f>
        <v>7.6</v>
      </c>
    </row>
    <row r="23" spans="1:17" ht="15" customHeight="1">
      <c r="C23" s="23"/>
    </row>
    <row r="24" spans="1:17" ht="15" customHeight="1">
      <c r="C24" s="166" t="s">
        <v>269</v>
      </c>
      <c r="D24" s="158" t="b">
        <f>D19&lt;D16</f>
        <v>1</v>
      </c>
      <c r="E24" s="158" t="b">
        <f t="shared" ref="E24:F24" si="0">E19&lt;E16</f>
        <v>1</v>
      </c>
      <c r="F24" s="158" t="b">
        <f t="shared" si="0"/>
        <v>1</v>
      </c>
      <c r="G24" s="158" t="b">
        <f>G19&lt;G16</f>
        <v>0</v>
      </c>
    </row>
    <row r="25" spans="1:17" ht="15" customHeight="1">
      <c r="C25" s="23"/>
    </row>
    <row r="26" spans="1:17" s="6" customFormat="1">
      <c r="A26" s="5">
        <v>3</v>
      </c>
      <c r="B26" s="6" t="s">
        <v>70</v>
      </c>
      <c r="D26" s="75"/>
      <c r="E26" s="75"/>
      <c r="F26" s="75"/>
      <c r="G26" s="75"/>
      <c r="H26" s="75"/>
    </row>
    <row r="28" spans="1:17">
      <c r="D28" s="1"/>
      <c r="E28" s="239" t="s">
        <v>250</v>
      </c>
      <c r="F28" s="239"/>
      <c r="G28" s="239"/>
      <c r="H28" s="239"/>
      <c r="I28" s="246"/>
      <c r="J28" s="247" t="s">
        <v>251</v>
      </c>
      <c r="K28" s="248"/>
      <c r="L28" s="240" t="s">
        <v>272</v>
      </c>
      <c r="M28" s="241"/>
      <c r="N28" s="242" t="s">
        <v>273</v>
      </c>
      <c r="O28" s="243"/>
      <c r="P28" s="244" t="s">
        <v>274</v>
      </c>
      <c r="Q28" s="245"/>
    </row>
    <row r="29" spans="1:17" customFormat="1" ht="29.45" customHeight="1">
      <c r="C29" s="76" t="s">
        <v>22</v>
      </c>
      <c r="D29" s="76" t="s">
        <v>23</v>
      </c>
      <c r="E29" s="66" t="s">
        <v>252</v>
      </c>
      <c r="F29" s="66" t="s">
        <v>253</v>
      </c>
      <c r="G29" s="66" t="s">
        <v>254</v>
      </c>
      <c r="H29" s="66" t="s">
        <v>255</v>
      </c>
      <c r="I29" s="68" t="s">
        <v>256</v>
      </c>
      <c r="J29" s="67" t="s">
        <v>257</v>
      </c>
      <c r="K29" s="67" t="s">
        <v>258</v>
      </c>
      <c r="L29" s="80" t="s">
        <v>275</v>
      </c>
      <c r="M29" s="80" t="s">
        <v>258</v>
      </c>
      <c r="N29" s="81" t="s">
        <v>276</v>
      </c>
      <c r="O29" s="81" t="s">
        <v>258</v>
      </c>
      <c r="P29" s="82" t="s">
        <v>277</v>
      </c>
      <c r="Q29" s="82" t="s">
        <v>258</v>
      </c>
    </row>
    <row r="30" spans="1:17" customFormat="1" ht="13.5">
      <c r="C30" s="55" t="s">
        <v>31</v>
      </c>
      <c r="D30" s="91">
        <v>132840</v>
      </c>
      <c r="E30" s="86">
        <v>20.995200000000004</v>
      </c>
      <c r="F30" s="86">
        <v>11.664000000000001</v>
      </c>
      <c r="G30" s="86">
        <v>6.48</v>
      </c>
      <c r="H30" s="86">
        <v>12.3</v>
      </c>
      <c r="I30" s="79">
        <f t="shared" ref="I30:I43" si="1">MIN(E30:H30)</f>
        <v>6.48</v>
      </c>
      <c r="J30" s="61">
        <f t="shared" ref="J30:J43" si="2">MIN(F30:H30)</f>
        <v>6.48</v>
      </c>
      <c r="K30" s="61">
        <f t="shared" ref="K30:K43" si="3">J30-I30</f>
        <v>0</v>
      </c>
      <c r="L30" s="61">
        <f t="shared" ref="L30:L43" si="4">MIN(E30,G30:H30)</f>
        <v>6.48</v>
      </c>
      <c r="M30" s="61">
        <f t="shared" ref="M30:M43" si="5">L30-I30</f>
        <v>0</v>
      </c>
      <c r="N30" s="61">
        <f t="shared" ref="N30:N43" si="6">MIN(H30,E30:F30)</f>
        <v>11.664000000000001</v>
      </c>
      <c r="O30" s="61">
        <f t="shared" ref="O30:O43" si="7">N30-I30</f>
        <v>5.1840000000000011</v>
      </c>
      <c r="P30" s="61">
        <f t="shared" ref="P30:P43" si="8">MIN(E30:G30)</f>
        <v>6.48</v>
      </c>
      <c r="Q30" s="61">
        <f t="shared" ref="Q30:Q43" si="9">P30-I30</f>
        <v>0</v>
      </c>
    </row>
    <row r="31" spans="1:17" customFormat="1" ht="13.5">
      <c r="C31" s="55" t="s">
        <v>35</v>
      </c>
      <c r="D31" s="87">
        <v>131887</v>
      </c>
      <c r="E31" s="86">
        <v>10.4</v>
      </c>
      <c r="F31" s="86">
        <v>17.600000000000001</v>
      </c>
      <c r="G31" s="86">
        <v>25.3</v>
      </c>
      <c r="H31" s="86">
        <v>30.36</v>
      </c>
      <c r="I31" s="79">
        <f t="shared" si="1"/>
        <v>10.4</v>
      </c>
      <c r="J31" s="61">
        <f t="shared" si="2"/>
        <v>17.600000000000001</v>
      </c>
      <c r="K31" s="61">
        <f t="shared" si="3"/>
        <v>7.2000000000000011</v>
      </c>
      <c r="L31" s="61">
        <f t="shared" si="4"/>
        <v>10.4</v>
      </c>
      <c r="M31" s="61">
        <f t="shared" si="5"/>
        <v>0</v>
      </c>
      <c r="N31" s="61">
        <f t="shared" si="6"/>
        <v>10.4</v>
      </c>
      <c r="O31" s="61">
        <f t="shared" si="7"/>
        <v>0</v>
      </c>
      <c r="P31" s="61">
        <f t="shared" si="8"/>
        <v>10.4</v>
      </c>
      <c r="Q31" s="61">
        <f t="shared" si="9"/>
        <v>0</v>
      </c>
    </row>
    <row r="32" spans="1:17" customFormat="1" ht="13.5">
      <c r="C32" s="55" t="s">
        <v>37</v>
      </c>
      <c r="D32" s="87">
        <v>131850</v>
      </c>
      <c r="E32" s="86">
        <v>21.7</v>
      </c>
      <c r="F32" s="86">
        <v>7.9</v>
      </c>
      <c r="G32" s="86">
        <v>23</v>
      </c>
      <c r="H32" s="86">
        <v>11</v>
      </c>
      <c r="I32" s="79">
        <f t="shared" si="1"/>
        <v>7.9</v>
      </c>
      <c r="J32" s="61">
        <f t="shared" si="2"/>
        <v>7.9</v>
      </c>
      <c r="K32" s="61">
        <f t="shared" si="3"/>
        <v>0</v>
      </c>
      <c r="L32" s="61">
        <f t="shared" si="4"/>
        <v>11</v>
      </c>
      <c r="M32" s="61">
        <f t="shared" si="5"/>
        <v>3.0999999999999996</v>
      </c>
      <c r="N32" s="61">
        <f t="shared" si="6"/>
        <v>7.9</v>
      </c>
      <c r="O32" s="61">
        <f t="shared" si="7"/>
        <v>0</v>
      </c>
      <c r="P32" s="61">
        <f t="shared" si="8"/>
        <v>7.9</v>
      </c>
      <c r="Q32" s="61">
        <f t="shared" si="9"/>
        <v>0</v>
      </c>
    </row>
    <row r="33" spans="1:17" customFormat="1" ht="13.5">
      <c r="C33" s="55" t="s">
        <v>32</v>
      </c>
      <c r="D33" s="87">
        <v>128630</v>
      </c>
      <c r="E33" s="86">
        <v>26.3</v>
      </c>
      <c r="F33" s="86">
        <v>9.4</v>
      </c>
      <c r="G33" s="86">
        <v>22.8</v>
      </c>
      <c r="H33" s="86">
        <v>32.200000000000003</v>
      </c>
      <c r="I33" s="79">
        <f t="shared" si="1"/>
        <v>9.4</v>
      </c>
      <c r="J33" s="61">
        <f t="shared" si="2"/>
        <v>9.4</v>
      </c>
      <c r="K33" s="61">
        <f t="shared" si="3"/>
        <v>0</v>
      </c>
      <c r="L33" s="61">
        <f t="shared" si="4"/>
        <v>22.8</v>
      </c>
      <c r="M33" s="61">
        <f t="shared" si="5"/>
        <v>13.4</v>
      </c>
      <c r="N33" s="61">
        <f t="shared" si="6"/>
        <v>9.4</v>
      </c>
      <c r="O33" s="61">
        <f t="shared" si="7"/>
        <v>0</v>
      </c>
      <c r="P33" s="61">
        <f t="shared" si="8"/>
        <v>9.4</v>
      </c>
      <c r="Q33" s="61">
        <f t="shared" si="9"/>
        <v>0</v>
      </c>
    </row>
    <row r="34" spans="1:17" customFormat="1" ht="13.5">
      <c r="C34" s="55" t="s">
        <v>41</v>
      </c>
      <c r="D34" s="87">
        <v>89440</v>
      </c>
      <c r="E34" s="86">
        <v>24</v>
      </c>
      <c r="F34" s="86">
        <v>21.5</v>
      </c>
      <c r="G34" s="86">
        <v>23.7</v>
      </c>
      <c r="H34" s="86">
        <v>18.399999999999999</v>
      </c>
      <c r="I34" s="79">
        <f t="shared" si="1"/>
        <v>18.399999999999999</v>
      </c>
      <c r="J34" s="61">
        <f t="shared" si="2"/>
        <v>18.399999999999999</v>
      </c>
      <c r="K34" s="61">
        <f t="shared" si="3"/>
        <v>0</v>
      </c>
      <c r="L34" s="61">
        <f t="shared" si="4"/>
        <v>18.399999999999999</v>
      </c>
      <c r="M34" s="61">
        <f t="shared" si="5"/>
        <v>0</v>
      </c>
      <c r="N34" s="61">
        <f t="shared" si="6"/>
        <v>18.399999999999999</v>
      </c>
      <c r="O34" s="61">
        <f t="shared" si="7"/>
        <v>0</v>
      </c>
      <c r="P34" s="61">
        <f t="shared" si="8"/>
        <v>21.5</v>
      </c>
      <c r="Q34" s="61">
        <f t="shared" si="9"/>
        <v>3.1000000000000014</v>
      </c>
    </row>
    <row r="35" spans="1:17" customFormat="1" ht="13.5">
      <c r="C35" s="55" t="s">
        <v>36</v>
      </c>
      <c r="D35" s="87">
        <v>86593</v>
      </c>
      <c r="E35" s="86">
        <v>18.7</v>
      </c>
      <c r="F35" s="86">
        <v>8.1999999999999993</v>
      </c>
      <c r="G35" s="86">
        <v>34.6</v>
      </c>
      <c r="H35" s="86">
        <v>11.7</v>
      </c>
      <c r="I35" s="79">
        <f t="shared" si="1"/>
        <v>8.1999999999999993</v>
      </c>
      <c r="J35" s="61">
        <f t="shared" si="2"/>
        <v>8.1999999999999993</v>
      </c>
      <c r="K35" s="61">
        <f t="shared" si="3"/>
        <v>0</v>
      </c>
      <c r="L35" s="61">
        <f t="shared" si="4"/>
        <v>11.7</v>
      </c>
      <c r="M35" s="61">
        <f t="shared" si="5"/>
        <v>3.5</v>
      </c>
      <c r="N35" s="61">
        <f t="shared" si="6"/>
        <v>8.1999999999999993</v>
      </c>
      <c r="O35" s="61">
        <f t="shared" si="7"/>
        <v>0</v>
      </c>
      <c r="P35" s="61">
        <f t="shared" si="8"/>
        <v>8.1999999999999993</v>
      </c>
      <c r="Q35" s="61">
        <f t="shared" si="9"/>
        <v>0</v>
      </c>
    </row>
    <row r="36" spans="1:17" customFormat="1" ht="13.5">
      <c r="C36" s="55" t="s">
        <v>30</v>
      </c>
      <c r="D36" s="87">
        <v>61583</v>
      </c>
      <c r="E36" s="86">
        <v>23.4</v>
      </c>
      <c r="F36" s="86">
        <v>11.7</v>
      </c>
      <c r="G36" s="86">
        <v>12.9</v>
      </c>
      <c r="H36" s="86">
        <v>29.7</v>
      </c>
      <c r="I36" s="79">
        <f t="shared" si="1"/>
        <v>11.7</v>
      </c>
      <c r="J36" s="61">
        <f t="shared" si="2"/>
        <v>11.7</v>
      </c>
      <c r="K36" s="61">
        <f t="shared" si="3"/>
        <v>0</v>
      </c>
      <c r="L36" s="61">
        <f t="shared" si="4"/>
        <v>12.9</v>
      </c>
      <c r="M36" s="61">
        <f t="shared" si="5"/>
        <v>1.2000000000000011</v>
      </c>
      <c r="N36" s="61">
        <f t="shared" si="6"/>
        <v>11.7</v>
      </c>
      <c r="O36" s="61">
        <f t="shared" si="7"/>
        <v>0</v>
      </c>
      <c r="P36" s="61">
        <f t="shared" si="8"/>
        <v>11.7</v>
      </c>
      <c r="Q36" s="61">
        <f t="shared" si="9"/>
        <v>0</v>
      </c>
    </row>
    <row r="37" spans="1:17" customFormat="1" ht="13.5">
      <c r="C37" s="55" t="s">
        <v>29</v>
      </c>
      <c r="D37" s="87">
        <v>53273</v>
      </c>
      <c r="E37" s="86">
        <v>21.2</v>
      </c>
      <c r="F37" s="86">
        <v>9.9</v>
      </c>
      <c r="G37" s="86">
        <v>19.3</v>
      </c>
      <c r="H37" s="86">
        <v>32.700000000000003</v>
      </c>
      <c r="I37" s="79">
        <f t="shared" si="1"/>
        <v>9.9</v>
      </c>
      <c r="J37" s="61">
        <f t="shared" si="2"/>
        <v>9.9</v>
      </c>
      <c r="K37" s="61">
        <f t="shared" si="3"/>
        <v>0</v>
      </c>
      <c r="L37" s="61">
        <f t="shared" si="4"/>
        <v>19.3</v>
      </c>
      <c r="M37" s="61">
        <f t="shared" si="5"/>
        <v>9.4</v>
      </c>
      <c r="N37" s="61">
        <f t="shared" si="6"/>
        <v>9.9</v>
      </c>
      <c r="O37" s="61">
        <f t="shared" si="7"/>
        <v>0</v>
      </c>
      <c r="P37" s="61">
        <f t="shared" si="8"/>
        <v>9.9</v>
      </c>
      <c r="Q37" s="61">
        <f t="shared" si="9"/>
        <v>0</v>
      </c>
    </row>
    <row r="38" spans="1:17" customFormat="1" ht="13.5">
      <c r="C38" s="55" t="s">
        <v>42</v>
      </c>
      <c r="D38" s="87">
        <v>52483</v>
      </c>
      <c r="E38" s="86">
        <v>4.5999999999999996</v>
      </c>
      <c r="F38" s="86">
        <v>38.24</v>
      </c>
      <c r="G38" s="86">
        <v>29.2</v>
      </c>
      <c r="H38" s="86">
        <v>34.299999999999997</v>
      </c>
      <c r="I38" s="79">
        <f t="shared" si="1"/>
        <v>4.5999999999999996</v>
      </c>
      <c r="J38" s="61">
        <f t="shared" si="2"/>
        <v>29.2</v>
      </c>
      <c r="K38" s="61">
        <f t="shared" si="3"/>
        <v>24.6</v>
      </c>
      <c r="L38" s="61">
        <f t="shared" si="4"/>
        <v>4.5999999999999996</v>
      </c>
      <c r="M38" s="61">
        <f t="shared" si="5"/>
        <v>0</v>
      </c>
      <c r="N38" s="61">
        <f t="shared" si="6"/>
        <v>4.5999999999999996</v>
      </c>
      <c r="O38" s="61">
        <f t="shared" si="7"/>
        <v>0</v>
      </c>
      <c r="P38" s="61">
        <f t="shared" si="8"/>
        <v>4.5999999999999996</v>
      </c>
      <c r="Q38" s="61">
        <f t="shared" si="9"/>
        <v>0</v>
      </c>
    </row>
    <row r="39" spans="1:17" customFormat="1" ht="13.5">
      <c r="C39" s="55" t="s">
        <v>34</v>
      </c>
      <c r="D39" s="87">
        <v>45853</v>
      </c>
      <c r="E39" s="86">
        <v>38.4</v>
      </c>
      <c r="F39" s="86">
        <v>21.1</v>
      </c>
      <c r="G39" s="86">
        <v>5.4</v>
      </c>
      <c r="H39" s="86">
        <v>27.3</v>
      </c>
      <c r="I39" s="79">
        <f t="shared" si="1"/>
        <v>5.4</v>
      </c>
      <c r="J39" s="61">
        <f t="shared" si="2"/>
        <v>5.4</v>
      </c>
      <c r="K39" s="61">
        <f t="shared" si="3"/>
        <v>0</v>
      </c>
      <c r="L39" s="61">
        <f t="shared" si="4"/>
        <v>5.4</v>
      </c>
      <c r="M39" s="61">
        <f t="shared" si="5"/>
        <v>0</v>
      </c>
      <c r="N39" s="61">
        <f t="shared" si="6"/>
        <v>21.1</v>
      </c>
      <c r="O39" s="61">
        <f t="shared" si="7"/>
        <v>15.700000000000001</v>
      </c>
      <c r="P39" s="61">
        <f t="shared" si="8"/>
        <v>5.4</v>
      </c>
      <c r="Q39" s="61">
        <f t="shared" si="9"/>
        <v>0</v>
      </c>
    </row>
    <row r="40" spans="1:17" customFormat="1" ht="13.5">
      <c r="C40" s="55" t="s">
        <v>38</v>
      </c>
      <c r="D40" s="87">
        <v>44303</v>
      </c>
      <c r="E40" s="86">
        <v>22.2</v>
      </c>
      <c r="F40" s="86">
        <v>28.9</v>
      </c>
      <c r="G40" s="86">
        <v>17.899999999999999</v>
      </c>
      <c r="H40" s="86">
        <v>31.9</v>
      </c>
      <c r="I40" s="79">
        <f t="shared" si="1"/>
        <v>17.899999999999999</v>
      </c>
      <c r="J40" s="61">
        <f t="shared" si="2"/>
        <v>17.899999999999999</v>
      </c>
      <c r="K40" s="61">
        <f t="shared" si="3"/>
        <v>0</v>
      </c>
      <c r="L40" s="61">
        <f t="shared" si="4"/>
        <v>17.899999999999999</v>
      </c>
      <c r="M40" s="61">
        <f t="shared" si="5"/>
        <v>0</v>
      </c>
      <c r="N40" s="61">
        <f t="shared" si="6"/>
        <v>22.2</v>
      </c>
      <c r="O40" s="61">
        <f t="shared" si="7"/>
        <v>4.3000000000000007</v>
      </c>
      <c r="P40" s="61">
        <f t="shared" si="8"/>
        <v>17.899999999999999</v>
      </c>
      <c r="Q40" s="61">
        <f t="shared" si="9"/>
        <v>0</v>
      </c>
    </row>
    <row r="41" spans="1:17" customFormat="1" ht="13.5">
      <c r="C41" s="55" t="s">
        <v>39</v>
      </c>
      <c r="D41" s="87">
        <v>42793</v>
      </c>
      <c r="E41" s="86">
        <v>6.5</v>
      </c>
      <c r="F41" s="86">
        <v>25.9</v>
      </c>
      <c r="G41" s="86">
        <v>21.2</v>
      </c>
      <c r="H41" s="86">
        <v>23.2</v>
      </c>
      <c r="I41" s="79">
        <f t="shared" si="1"/>
        <v>6.5</v>
      </c>
      <c r="J41" s="61">
        <f t="shared" si="2"/>
        <v>21.2</v>
      </c>
      <c r="K41" s="61">
        <f t="shared" si="3"/>
        <v>14.7</v>
      </c>
      <c r="L41" s="61">
        <f t="shared" si="4"/>
        <v>6.5</v>
      </c>
      <c r="M41" s="61">
        <f t="shared" si="5"/>
        <v>0</v>
      </c>
      <c r="N41" s="61">
        <f t="shared" si="6"/>
        <v>6.5</v>
      </c>
      <c r="O41" s="61">
        <f t="shared" si="7"/>
        <v>0</v>
      </c>
      <c r="P41" s="61">
        <f t="shared" si="8"/>
        <v>6.5</v>
      </c>
      <c r="Q41" s="61">
        <f t="shared" si="9"/>
        <v>0</v>
      </c>
    </row>
    <row r="42" spans="1:17" customFormat="1" ht="13.5">
      <c r="C42" s="55" t="s">
        <v>33</v>
      </c>
      <c r="D42" s="87">
        <v>38597</v>
      </c>
      <c r="E42" s="86">
        <v>39.200000000000003</v>
      </c>
      <c r="F42" s="86">
        <v>42.4</v>
      </c>
      <c r="G42" s="86">
        <v>12.2</v>
      </c>
      <c r="H42" s="86">
        <v>37.299999999999997</v>
      </c>
      <c r="I42" s="79">
        <f t="shared" si="1"/>
        <v>12.2</v>
      </c>
      <c r="J42" s="61">
        <f t="shared" si="2"/>
        <v>12.2</v>
      </c>
      <c r="K42" s="61">
        <f t="shared" si="3"/>
        <v>0</v>
      </c>
      <c r="L42" s="61">
        <f t="shared" si="4"/>
        <v>12.2</v>
      </c>
      <c r="M42" s="61">
        <f t="shared" si="5"/>
        <v>0</v>
      </c>
      <c r="N42" s="61">
        <f t="shared" si="6"/>
        <v>37.299999999999997</v>
      </c>
      <c r="O42" s="61">
        <f t="shared" si="7"/>
        <v>25.099999999999998</v>
      </c>
      <c r="P42" s="61">
        <f t="shared" si="8"/>
        <v>12.2</v>
      </c>
      <c r="Q42" s="61">
        <f t="shared" si="9"/>
        <v>0</v>
      </c>
    </row>
    <row r="43" spans="1:17" customFormat="1" ht="13.5">
      <c r="C43" s="55" t="s">
        <v>40</v>
      </c>
      <c r="D43" s="87">
        <v>36850</v>
      </c>
      <c r="E43" s="86">
        <v>21.4</v>
      </c>
      <c r="F43" s="86">
        <v>21</v>
      </c>
      <c r="G43" s="86">
        <v>33.700000000000003</v>
      </c>
      <c r="H43" s="86">
        <v>13.4</v>
      </c>
      <c r="I43" s="79">
        <f t="shared" si="1"/>
        <v>13.4</v>
      </c>
      <c r="J43" s="61">
        <f t="shared" si="2"/>
        <v>13.4</v>
      </c>
      <c r="K43" s="61">
        <f t="shared" si="3"/>
        <v>0</v>
      </c>
      <c r="L43" s="61">
        <f t="shared" si="4"/>
        <v>13.4</v>
      </c>
      <c r="M43" s="61">
        <f t="shared" si="5"/>
        <v>0</v>
      </c>
      <c r="N43" s="61">
        <f t="shared" si="6"/>
        <v>13.4</v>
      </c>
      <c r="O43" s="61">
        <f t="shared" si="7"/>
        <v>0</v>
      </c>
      <c r="P43" s="61">
        <f t="shared" si="8"/>
        <v>21</v>
      </c>
      <c r="Q43" s="61">
        <f t="shared" si="9"/>
        <v>7.6</v>
      </c>
    </row>
    <row r="44" spans="1:17" customFormat="1" ht="13.5">
      <c r="C44" s="62"/>
      <c r="D44" s="89"/>
      <c r="E44" s="90"/>
      <c r="F44" s="90"/>
      <c r="G44" s="90"/>
      <c r="H44" s="90"/>
      <c r="I44" s="88"/>
      <c r="J44" s="65"/>
      <c r="K44" s="65"/>
      <c r="L44" s="65"/>
      <c r="M44" s="65"/>
      <c r="N44" s="65"/>
      <c r="O44" s="65"/>
      <c r="P44" s="65"/>
      <c r="Q44" s="65"/>
    </row>
    <row r="45" spans="1:17" s="6" customFormat="1">
      <c r="A45" s="5" t="s">
        <v>43</v>
      </c>
      <c r="B45" s="6" t="s">
        <v>44</v>
      </c>
      <c r="D45" s="75"/>
      <c r="E45" s="75"/>
      <c r="F45" s="75"/>
      <c r="G45" s="75"/>
      <c r="H45" s="75"/>
    </row>
  </sheetData>
  <autoFilter ref="C29:Q29" xr:uid="{0D0AFAE7-AB16-4750-8A5A-1A69385FCA13}">
    <sortState xmlns:xlrd2="http://schemas.microsoft.com/office/spreadsheetml/2017/richdata2" ref="C30:Q43">
      <sortCondition descending="1" ref="D29"/>
    </sortState>
  </autoFilter>
  <mergeCells count="10">
    <mergeCell ref="N28:O28"/>
    <mergeCell ref="P28:Q28"/>
    <mergeCell ref="D8:E8"/>
    <mergeCell ref="D9:E9"/>
    <mergeCell ref="D10:E10"/>
    <mergeCell ref="D11:E11"/>
    <mergeCell ref="E28:I28"/>
    <mergeCell ref="J28:K28"/>
    <mergeCell ref="L28:M28"/>
    <mergeCell ref="F10:F11"/>
  </mergeCells>
  <conditionalFormatting sqref="D9:E9">
    <cfRule type="containsText" dxfId="22" priority="1" operator="containsText" text="TRUE">
      <formula>NOT(ISERROR(SEARCH("TRUE",D9)))</formula>
    </cfRule>
    <cfRule type="cellIs" dxfId="21" priority="56" operator="equal">
      <formula>#REF!/SUM($D$30:$D$43)</formula>
    </cfRule>
  </conditionalFormatting>
  <conditionalFormatting sqref="D24:G24">
    <cfRule type="containsText" dxfId="20" priority="2" operator="containsText" text="True">
      <formula>NOT(ISERROR(SEARCH("True",D24)))</formula>
    </cfRule>
    <cfRule type="containsText" dxfId="19" priority="3" operator="containsText" text="false">
      <formula>NOT(ISERROR(SEARCH("false",D24)))</formula>
    </cfRule>
  </conditionalFormatting>
  <pageMargins left="0.7" right="0.7" top="0.75" bottom="0.75" header="0.3" footer="0.3"/>
  <pageSetup paperSize="9" orientation="portrait" r:id="rId1"/>
  <ignoredErrors>
    <ignoredError sqref="I30:J43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1" operator="equal" id="{EA5E8AB4-6EE9-40FE-80FD-C76942828DCE}">
            <xm:f>'1.3 Functions - Solution'!$D10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D9:D11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95E67-9E54-4DFC-BED6-8C7E8F318B71}">
  <sheetPr>
    <tabColor theme="2"/>
  </sheetPr>
  <dimension ref="A1:Q45"/>
  <sheetViews>
    <sheetView showGridLines="0" topLeftCell="A5" zoomScale="81" zoomScaleNormal="85" workbookViewId="0">
      <selection activeCell="C24" sqref="C24"/>
    </sheetView>
  </sheetViews>
  <sheetFormatPr defaultColWidth="9" defaultRowHeight="14.1"/>
  <cols>
    <col min="1" max="1" width="3.625" style="1" customWidth="1"/>
    <col min="2" max="2" width="5.875" style="1" customWidth="1"/>
    <col min="3" max="3" width="55.75" style="1" bestFit="1" customWidth="1"/>
    <col min="4" max="8" width="23.875" style="20" customWidth="1"/>
    <col min="9" max="10" width="23.875" style="1" customWidth="1"/>
    <col min="11" max="13" width="24.25" style="1" customWidth="1"/>
    <col min="14" max="17" width="24.625" style="1" customWidth="1"/>
    <col min="18" max="16384" width="9" style="1"/>
  </cols>
  <sheetData>
    <row r="1" spans="1:13" s="7" customFormat="1" ht="19.5">
      <c r="A1" s="8" t="s">
        <v>45</v>
      </c>
      <c r="B1" s="1"/>
      <c r="C1" s="18" t="e">
        <f ca="1">MID(CELL("filename",A1),FIND("]",CELL("filename",A1))+1,LEN(CELL("filename",A1))-FIND("]",CELL("filename",A1)))</f>
        <v>#VALUE!</v>
      </c>
      <c r="D1" s="69"/>
      <c r="E1" s="70"/>
      <c r="F1" s="71" t="s">
        <v>0</v>
      </c>
      <c r="G1" s="72" t="e">
        <f ca="1">MID(CELL("filename",G1),FIND(" v",CELL("filename",G1))+1,FIND(".xls",CELL("filename",G1))-FIND(" v",CELL("filename",G1))-1)</f>
        <v>#VALUE!</v>
      </c>
      <c r="H1" s="73">
        <f ca="1">TODAY()</f>
        <v>46010</v>
      </c>
      <c r="I1" s="15">
        <f ca="1">NOW()</f>
        <v>46010.527948148148</v>
      </c>
    </row>
    <row r="2" spans="1:13" s="3" customFormat="1">
      <c r="A2" s="4"/>
      <c r="C2" s="19" t="s">
        <v>46</v>
      </c>
      <c r="D2" s="74"/>
      <c r="E2" s="74"/>
      <c r="F2" s="74"/>
      <c r="G2" s="74"/>
      <c r="H2" s="74"/>
      <c r="I2" s="17"/>
      <c r="K2" s="20" t="s">
        <v>1</v>
      </c>
    </row>
    <row r="4" spans="1:13" s="6" customFormat="1">
      <c r="A4" s="5">
        <v>1</v>
      </c>
      <c r="B4" s="6" t="s">
        <v>2</v>
      </c>
      <c r="D4" s="75"/>
      <c r="E4" s="75"/>
      <c r="F4" s="75"/>
      <c r="G4" s="75"/>
      <c r="H4" s="75"/>
    </row>
    <row r="5" spans="1:13">
      <c r="A5" s="2"/>
      <c r="B5" s="2"/>
    </row>
    <row r="6" spans="1:13" ht="15">
      <c r="B6" s="43" t="s">
        <v>278</v>
      </c>
      <c r="L6" s="9"/>
      <c r="M6" s="9"/>
    </row>
    <row r="7" spans="1:13">
      <c r="L7" s="9"/>
      <c r="M7" s="9"/>
    </row>
    <row r="8" spans="1:13" customFormat="1" ht="18.600000000000001" customHeight="1">
      <c r="B8" s="83" t="s">
        <v>4</v>
      </c>
      <c r="C8" s="84" t="s">
        <v>5</v>
      </c>
      <c r="D8" s="249" t="s">
        <v>58</v>
      </c>
      <c r="E8" s="249"/>
      <c r="F8" s="49"/>
      <c r="G8" s="49"/>
      <c r="H8" s="49"/>
    </row>
    <row r="9" spans="1:13" customFormat="1" ht="33" customHeight="1">
      <c r="B9" s="96">
        <v>1</v>
      </c>
      <c r="C9" s="97" t="s">
        <v>279</v>
      </c>
      <c r="D9" s="250" t="b">
        <f>G24</f>
        <v>0</v>
      </c>
      <c r="E9" s="250"/>
      <c r="F9" s="49"/>
      <c r="G9" s="49"/>
      <c r="H9" s="49"/>
    </row>
    <row r="10" spans="1:13" customFormat="1" ht="33" customHeight="1">
      <c r="B10" s="33">
        <v>2</v>
      </c>
      <c r="C10" s="36" t="s">
        <v>280</v>
      </c>
      <c r="D10" s="251"/>
      <c r="E10" s="251"/>
      <c r="F10" s="49"/>
      <c r="G10" s="49"/>
      <c r="H10" s="49"/>
    </row>
    <row r="11" spans="1:13" customFormat="1" ht="33" customHeight="1">
      <c r="B11" s="38">
        <v>3</v>
      </c>
      <c r="C11" s="39" t="s">
        <v>282</v>
      </c>
      <c r="D11" s="252"/>
      <c r="E11" s="252"/>
      <c r="F11" s="49"/>
      <c r="G11" s="49"/>
      <c r="H11" s="49"/>
    </row>
    <row r="12" spans="1:13">
      <c r="C12" s="23"/>
    </row>
    <row r="13" spans="1:13" s="6" customFormat="1">
      <c r="A13" s="5">
        <v>2</v>
      </c>
      <c r="B13" s="6" t="s">
        <v>260</v>
      </c>
      <c r="D13" s="75"/>
      <c r="E13" s="75"/>
      <c r="F13" s="75"/>
      <c r="G13" s="75"/>
      <c r="H13" s="75"/>
    </row>
    <row r="14" spans="1:13" customFormat="1" ht="13.5"/>
    <row r="15" spans="1:13">
      <c r="C15" s="23"/>
      <c r="D15" s="162" t="s">
        <v>261</v>
      </c>
      <c r="E15" s="163" t="s">
        <v>262</v>
      </c>
      <c r="F15" s="164" t="s">
        <v>263</v>
      </c>
      <c r="G15" s="165" t="s">
        <v>264</v>
      </c>
      <c r="I15" s="228" t="s">
        <v>243</v>
      </c>
    </row>
    <row r="16" spans="1:13">
      <c r="C16" s="155" t="s">
        <v>283</v>
      </c>
      <c r="D16" s="159">
        <f>SUMIF($K$30:$K$43,$I$16,$D$30:$D$43)</f>
        <v>227163</v>
      </c>
      <c r="E16" s="159">
        <f>SUMIF($M$30:$M$43,I16,$D$30:$D$43)</f>
        <v>461929</v>
      </c>
      <c r="F16" s="159">
        <f>SUMIF($O$30:$O$43,I16,$D$30:$D$43)</f>
        <v>261593</v>
      </c>
      <c r="G16" s="159">
        <f>SUMIF($Q$30:$Q$43,I16,$D$30:$D$43)</f>
        <v>126290</v>
      </c>
      <c r="I16" s="229" t="s">
        <v>270</v>
      </c>
    </row>
    <row r="17" spans="1:17">
      <c r="C17" s="156" t="s">
        <v>284</v>
      </c>
      <c r="D17" s="160">
        <f>D16/SUM($D$30:$D$43)</f>
        <v>0.21092690173866618</v>
      </c>
      <c r="E17" s="160">
        <f>E16/SUM($D$30:$D$43)</f>
        <v>0.42891339167575848</v>
      </c>
      <c r="F17" s="160">
        <f>F16/SUM($D$30:$D$43)</f>
        <v>0.24289607465354349</v>
      </c>
      <c r="G17" s="160">
        <f>G16/SUM($D$30:$D$43)</f>
        <v>0.11726363193203185</v>
      </c>
    </row>
    <row r="18" spans="1:17">
      <c r="C18" s="154"/>
    </row>
    <row r="19" spans="1:17">
      <c r="C19" s="157" t="s">
        <v>285</v>
      </c>
      <c r="D19" s="159">
        <f>SUMIF($K$30:$K$43,I19,$D$30:$D$43)</f>
        <v>95276</v>
      </c>
      <c r="E19" s="159">
        <f>SUMIF($M$30:$M$43,I19,$D$30:$D$43)</f>
        <v>128630</v>
      </c>
      <c r="F19" s="159">
        <f>SUMIF($O$30:$O$43,I19,$D$30:$D$43)</f>
        <v>84450</v>
      </c>
      <c r="G19" s="159">
        <f>SUMIF($Q$30:$Q$43,"&lt;10",$D$30:$D$43)</f>
        <v>1076975</v>
      </c>
      <c r="I19" s="229" t="s">
        <v>271</v>
      </c>
    </row>
    <row r="20" spans="1:17">
      <c r="C20" s="156" t="s">
        <v>284</v>
      </c>
      <c r="D20" s="160">
        <f>D19/SUM($D$30:$D$43)</f>
        <v>8.8466306088813576E-2</v>
      </c>
      <c r="E20" s="160">
        <f>E19/SUM($D$30:$D$43)</f>
        <v>0.1194363843171847</v>
      </c>
      <c r="F20" s="160">
        <f>F19/SUM($D$30:$D$43)</f>
        <v>7.8414076464170479E-2</v>
      </c>
      <c r="G20" s="160">
        <f>G19/SUM($D$30:$D$43)</f>
        <v>1</v>
      </c>
    </row>
    <row r="21" spans="1:17">
      <c r="C21" s="23"/>
    </row>
    <row r="22" spans="1:17">
      <c r="C22" s="157" t="s">
        <v>268</v>
      </c>
      <c r="D22" s="161">
        <f>MAX(K30:K43)</f>
        <v>24.6</v>
      </c>
      <c r="E22" s="161">
        <f>MAX(M30:M43)</f>
        <v>13.4</v>
      </c>
      <c r="F22" s="161">
        <f>MAX(O30:O43)</f>
        <v>25.099999999999998</v>
      </c>
      <c r="G22" s="161">
        <f>MAX(Q30:Q43)</f>
        <v>7.6</v>
      </c>
    </row>
    <row r="23" spans="1:17" ht="15" customHeight="1">
      <c r="C23" s="23"/>
    </row>
    <row r="24" spans="1:17" ht="15" customHeight="1">
      <c r="C24" s="166" t="s">
        <v>269</v>
      </c>
      <c r="D24" s="158" t="b">
        <f>D19&lt;D16</f>
        <v>1</v>
      </c>
      <c r="E24" s="158" t="b">
        <f t="shared" ref="E24:F24" si="0">E19&lt;E16</f>
        <v>1</v>
      </c>
      <c r="F24" s="158" t="b">
        <f t="shared" si="0"/>
        <v>1</v>
      </c>
      <c r="G24" s="158" t="b">
        <f>G19&lt;G16</f>
        <v>0</v>
      </c>
    </row>
    <row r="25" spans="1:17" ht="15" customHeight="1">
      <c r="C25" s="23"/>
    </row>
    <row r="26" spans="1:17" s="6" customFormat="1">
      <c r="A26" s="5">
        <v>3</v>
      </c>
      <c r="B26" s="6" t="s">
        <v>70</v>
      </c>
      <c r="D26" s="75"/>
      <c r="E26" s="75"/>
      <c r="F26" s="75"/>
      <c r="G26" s="75"/>
      <c r="H26" s="75"/>
    </row>
    <row r="28" spans="1:17">
      <c r="D28" s="1"/>
      <c r="E28" s="239" t="s">
        <v>250</v>
      </c>
      <c r="F28" s="239"/>
      <c r="G28" s="239"/>
      <c r="H28" s="239"/>
      <c r="I28" s="246"/>
      <c r="J28" s="247" t="s">
        <v>251</v>
      </c>
      <c r="K28" s="248"/>
      <c r="L28" s="240" t="s">
        <v>272</v>
      </c>
      <c r="M28" s="241"/>
      <c r="N28" s="242" t="s">
        <v>273</v>
      </c>
      <c r="O28" s="243"/>
      <c r="P28" s="244" t="s">
        <v>274</v>
      </c>
      <c r="Q28" s="245"/>
    </row>
    <row r="29" spans="1:17" customFormat="1" ht="29.45" customHeight="1">
      <c r="C29" s="76" t="s">
        <v>22</v>
      </c>
      <c r="D29" s="76" t="s">
        <v>23</v>
      </c>
      <c r="E29" s="66" t="s">
        <v>252</v>
      </c>
      <c r="F29" s="66" t="s">
        <v>253</v>
      </c>
      <c r="G29" s="66" t="s">
        <v>254</v>
      </c>
      <c r="H29" s="66" t="s">
        <v>255</v>
      </c>
      <c r="I29" s="68" t="s">
        <v>256</v>
      </c>
      <c r="J29" s="67" t="s">
        <v>257</v>
      </c>
      <c r="K29" s="67" t="s">
        <v>258</v>
      </c>
      <c r="L29" s="80" t="s">
        <v>275</v>
      </c>
      <c r="M29" s="80" t="s">
        <v>258</v>
      </c>
      <c r="N29" s="81" t="s">
        <v>276</v>
      </c>
      <c r="O29" s="81" t="s">
        <v>258</v>
      </c>
      <c r="P29" s="82" t="s">
        <v>277</v>
      </c>
      <c r="Q29" s="82" t="s">
        <v>258</v>
      </c>
    </row>
    <row r="30" spans="1:17" customFormat="1" ht="13.5">
      <c r="C30" s="55" t="s">
        <v>31</v>
      </c>
      <c r="D30" s="91">
        <v>132840</v>
      </c>
      <c r="E30" s="86">
        <v>20.995200000000004</v>
      </c>
      <c r="F30" s="86">
        <v>11.664000000000001</v>
      </c>
      <c r="G30" s="86">
        <v>6.48</v>
      </c>
      <c r="H30" s="86">
        <v>12.3</v>
      </c>
      <c r="I30" s="79">
        <f t="shared" ref="I30:I43" si="1">MIN(E30:H30)</f>
        <v>6.48</v>
      </c>
      <c r="J30" s="61">
        <f t="shared" ref="J30:J43" si="2">MIN(F30:H30)</f>
        <v>6.48</v>
      </c>
      <c r="K30" s="61">
        <f t="shared" ref="K30:K43" si="3">J30-I30</f>
        <v>0</v>
      </c>
      <c r="L30" s="61">
        <f t="shared" ref="L30:L43" si="4">MIN(E30,G30:H30)</f>
        <v>6.48</v>
      </c>
      <c r="M30" s="61">
        <f t="shared" ref="M30:M43" si="5">L30-I30</f>
        <v>0</v>
      </c>
      <c r="N30" s="61">
        <f t="shared" ref="N30:N43" si="6">MIN(H30,E30:F30)</f>
        <v>11.664000000000001</v>
      </c>
      <c r="O30" s="61">
        <f t="shared" ref="O30:O43" si="7">N30-I30</f>
        <v>5.1840000000000011</v>
      </c>
      <c r="P30" s="61">
        <f t="shared" ref="P30:P43" si="8">MIN(E30:G30)</f>
        <v>6.48</v>
      </c>
      <c r="Q30" s="61">
        <f t="shared" ref="Q30:Q43" si="9">P30-I30</f>
        <v>0</v>
      </c>
    </row>
    <row r="31" spans="1:17" customFormat="1" ht="13.5">
      <c r="C31" s="55" t="s">
        <v>35</v>
      </c>
      <c r="D31" s="87">
        <v>131887</v>
      </c>
      <c r="E31" s="86">
        <v>10.4</v>
      </c>
      <c r="F31" s="86">
        <v>17.600000000000001</v>
      </c>
      <c r="G31" s="86">
        <v>25.3</v>
      </c>
      <c r="H31" s="86">
        <v>30.36</v>
      </c>
      <c r="I31" s="79">
        <f t="shared" si="1"/>
        <v>10.4</v>
      </c>
      <c r="J31" s="61">
        <f t="shared" si="2"/>
        <v>17.600000000000001</v>
      </c>
      <c r="K31" s="61">
        <f t="shared" si="3"/>
        <v>7.2000000000000011</v>
      </c>
      <c r="L31" s="61">
        <f t="shared" si="4"/>
        <v>10.4</v>
      </c>
      <c r="M31" s="61">
        <f t="shared" si="5"/>
        <v>0</v>
      </c>
      <c r="N31" s="61">
        <f t="shared" si="6"/>
        <v>10.4</v>
      </c>
      <c r="O31" s="61">
        <f t="shared" si="7"/>
        <v>0</v>
      </c>
      <c r="P31" s="61">
        <f t="shared" si="8"/>
        <v>10.4</v>
      </c>
      <c r="Q31" s="61">
        <f t="shared" si="9"/>
        <v>0</v>
      </c>
    </row>
    <row r="32" spans="1:17" customFormat="1" ht="13.5">
      <c r="C32" s="55" t="s">
        <v>37</v>
      </c>
      <c r="D32" s="87">
        <v>131850</v>
      </c>
      <c r="E32" s="86">
        <v>21.7</v>
      </c>
      <c r="F32" s="86">
        <v>7.9</v>
      </c>
      <c r="G32" s="86">
        <v>23</v>
      </c>
      <c r="H32" s="86">
        <v>11</v>
      </c>
      <c r="I32" s="79">
        <f t="shared" si="1"/>
        <v>7.9</v>
      </c>
      <c r="J32" s="61">
        <f t="shared" si="2"/>
        <v>7.9</v>
      </c>
      <c r="K32" s="61">
        <f t="shared" si="3"/>
        <v>0</v>
      </c>
      <c r="L32" s="61">
        <f t="shared" si="4"/>
        <v>11</v>
      </c>
      <c r="M32" s="61">
        <f t="shared" si="5"/>
        <v>3.0999999999999996</v>
      </c>
      <c r="N32" s="61">
        <f t="shared" si="6"/>
        <v>7.9</v>
      </c>
      <c r="O32" s="61">
        <f t="shared" si="7"/>
        <v>0</v>
      </c>
      <c r="P32" s="61">
        <f t="shared" si="8"/>
        <v>7.9</v>
      </c>
      <c r="Q32" s="61">
        <f t="shared" si="9"/>
        <v>0</v>
      </c>
    </row>
    <row r="33" spans="1:17" customFormat="1" ht="13.5">
      <c r="C33" s="55" t="s">
        <v>32</v>
      </c>
      <c r="D33" s="87">
        <v>128630</v>
      </c>
      <c r="E33" s="86">
        <v>26.3</v>
      </c>
      <c r="F33" s="86">
        <v>9.4</v>
      </c>
      <c r="G33" s="86">
        <v>22.8</v>
      </c>
      <c r="H33" s="86">
        <v>32.200000000000003</v>
      </c>
      <c r="I33" s="79">
        <f t="shared" si="1"/>
        <v>9.4</v>
      </c>
      <c r="J33" s="61">
        <f t="shared" si="2"/>
        <v>9.4</v>
      </c>
      <c r="K33" s="61">
        <f t="shared" si="3"/>
        <v>0</v>
      </c>
      <c r="L33" s="61">
        <f t="shared" si="4"/>
        <v>22.8</v>
      </c>
      <c r="M33" s="61">
        <f t="shared" si="5"/>
        <v>13.4</v>
      </c>
      <c r="N33" s="61">
        <f t="shared" si="6"/>
        <v>9.4</v>
      </c>
      <c r="O33" s="61">
        <f t="shared" si="7"/>
        <v>0</v>
      </c>
      <c r="P33" s="61">
        <f t="shared" si="8"/>
        <v>9.4</v>
      </c>
      <c r="Q33" s="61">
        <f t="shared" si="9"/>
        <v>0</v>
      </c>
    </row>
    <row r="34" spans="1:17" customFormat="1" ht="13.5">
      <c r="C34" s="55" t="s">
        <v>41</v>
      </c>
      <c r="D34" s="87">
        <v>89440</v>
      </c>
      <c r="E34" s="86">
        <v>24</v>
      </c>
      <c r="F34" s="86">
        <v>21.5</v>
      </c>
      <c r="G34" s="86">
        <v>23.7</v>
      </c>
      <c r="H34" s="86">
        <v>18.399999999999999</v>
      </c>
      <c r="I34" s="79">
        <f t="shared" si="1"/>
        <v>18.399999999999999</v>
      </c>
      <c r="J34" s="61">
        <f t="shared" si="2"/>
        <v>18.399999999999999</v>
      </c>
      <c r="K34" s="61">
        <f t="shared" si="3"/>
        <v>0</v>
      </c>
      <c r="L34" s="61">
        <f t="shared" si="4"/>
        <v>18.399999999999999</v>
      </c>
      <c r="M34" s="61">
        <f t="shared" si="5"/>
        <v>0</v>
      </c>
      <c r="N34" s="61">
        <f t="shared" si="6"/>
        <v>18.399999999999999</v>
      </c>
      <c r="O34" s="61">
        <f t="shared" si="7"/>
        <v>0</v>
      </c>
      <c r="P34" s="61">
        <f t="shared" si="8"/>
        <v>21.5</v>
      </c>
      <c r="Q34" s="61">
        <f t="shared" si="9"/>
        <v>3.1000000000000014</v>
      </c>
    </row>
    <row r="35" spans="1:17" customFormat="1" ht="13.5">
      <c r="C35" s="55" t="s">
        <v>36</v>
      </c>
      <c r="D35" s="87">
        <v>86593</v>
      </c>
      <c r="E35" s="86">
        <v>18.7</v>
      </c>
      <c r="F35" s="86">
        <v>8.1999999999999993</v>
      </c>
      <c r="G35" s="86">
        <v>34.6</v>
      </c>
      <c r="H35" s="86">
        <v>11.7</v>
      </c>
      <c r="I35" s="79">
        <f t="shared" si="1"/>
        <v>8.1999999999999993</v>
      </c>
      <c r="J35" s="61">
        <f t="shared" si="2"/>
        <v>8.1999999999999993</v>
      </c>
      <c r="K35" s="61">
        <f t="shared" si="3"/>
        <v>0</v>
      </c>
      <c r="L35" s="61">
        <f t="shared" si="4"/>
        <v>11.7</v>
      </c>
      <c r="M35" s="61">
        <f t="shared" si="5"/>
        <v>3.5</v>
      </c>
      <c r="N35" s="61">
        <f t="shared" si="6"/>
        <v>8.1999999999999993</v>
      </c>
      <c r="O35" s="61">
        <f t="shared" si="7"/>
        <v>0</v>
      </c>
      <c r="P35" s="61">
        <f t="shared" si="8"/>
        <v>8.1999999999999993</v>
      </c>
      <c r="Q35" s="61">
        <f t="shared" si="9"/>
        <v>0</v>
      </c>
    </row>
    <row r="36" spans="1:17" customFormat="1" ht="13.5">
      <c r="C36" s="55" t="s">
        <v>30</v>
      </c>
      <c r="D36" s="87">
        <v>61583</v>
      </c>
      <c r="E36" s="86">
        <v>23.4</v>
      </c>
      <c r="F36" s="86">
        <v>11.7</v>
      </c>
      <c r="G36" s="86">
        <v>12.9</v>
      </c>
      <c r="H36" s="86">
        <v>29.7</v>
      </c>
      <c r="I36" s="79">
        <f t="shared" si="1"/>
        <v>11.7</v>
      </c>
      <c r="J36" s="61">
        <f t="shared" si="2"/>
        <v>11.7</v>
      </c>
      <c r="K36" s="61">
        <f t="shared" si="3"/>
        <v>0</v>
      </c>
      <c r="L36" s="61">
        <f t="shared" si="4"/>
        <v>12.9</v>
      </c>
      <c r="M36" s="61">
        <f t="shared" si="5"/>
        <v>1.2000000000000011</v>
      </c>
      <c r="N36" s="61">
        <f t="shared" si="6"/>
        <v>11.7</v>
      </c>
      <c r="O36" s="61">
        <f t="shared" si="7"/>
        <v>0</v>
      </c>
      <c r="P36" s="61">
        <f t="shared" si="8"/>
        <v>11.7</v>
      </c>
      <c r="Q36" s="61">
        <f t="shared" si="9"/>
        <v>0</v>
      </c>
    </row>
    <row r="37" spans="1:17" customFormat="1" ht="13.5">
      <c r="C37" s="55" t="s">
        <v>29</v>
      </c>
      <c r="D37" s="87">
        <v>53273</v>
      </c>
      <c r="E37" s="86">
        <v>21.2</v>
      </c>
      <c r="F37" s="86">
        <v>9.9</v>
      </c>
      <c r="G37" s="86">
        <v>19.3</v>
      </c>
      <c r="H37" s="86">
        <v>32.700000000000003</v>
      </c>
      <c r="I37" s="79">
        <f t="shared" si="1"/>
        <v>9.9</v>
      </c>
      <c r="J37" s="61">
        <f t="shared" si="2"/>
        <v>9.9</v>
      </c>
      <c r="K37" s="61">
        <f t="shared" si="3"/>
        <v>0</v>
      </c>
      <c r="L37" s="61">
        <f t="shared" si="4"/>
        <v>19.3</v>
      </c>
      <c r="M37" s="61">
        <f t="shared" si="5"/>
        <v>9.4</v>
      </c>
      <c r="N37" s="61">
        <f t="shared" si="6"/>
        <v>9.9</v>
      </c>
      <c r="O37" s="61">
        <f t="shared" si="7"/>
        <v>0</v>
      </c>
      <c r="P37" s="61">
        <f t="shared" si="8"/>
        <v>9.9</v>
      </c>
      <c r="Q37" s="61">
        <f t="shared" si="9"/>
        <v>0</v>
      </c>
    </row>
    <row r="38" spans="1:17" customFormat="1" ht="13.5">
      <c r="C38" s="55" t="s">
        <v>42</v>
      </c>
      <c r="D38" s="87">
        <v>52483</v>
      </c>
      <c r="E38" s="86">
        <v>4.5999999999999996</v>
      </c>
      <c r="F38" s="86">
        <v>38.24</v>
      </c>
      <c r="G38" s="86">
        <v>29.2</v>
      </c>
      <c r="H38" s="86">
        <v>34.299999999999997</v>
      </c>
      <c r="I38" s="79">
        <f t="shared" si="1"/>
        <v>4.5999999999999996</v>
      </c>
      <c r="J38" s="61">
        <f t="shared" si="2"/>
        <v>29.2</v>
      </c>
      <c r="K38" s="61">
        <f t="shared" si="3"/>
        <v>24.6</v>
      </c>
      <c r="L38" s="61">
        <f t="shared" si="4"/>
        <v>4.5999999999999996</v>
      </c>
      <c r="M38" s="61">
        <f t="shared" si="5"/>
        <v>0</v>
      </c>
      <c r="N38" s="61">
        <f t="shared" si="6"/>
        <v>4.5999999999999996</v>
      </c>
      <c r="O38" s="61">
        <f t="shared" si="7"/>
        <v>0</v>
      </c>
      <c r="P38" s="61">
        <f t="shared" si="8"/>
        <v>4.5999999999999996</v>
      </c>
      <c r="Q38" s="61">
        <f t="shared" si="9"/>
        <v>0</v>
      </c>
    </row>
    <row r="39" spans="1:17" customFormat="1" ht="13.5">
      <c r="C39" s="55" t="s">
        <v>34</v>
      </c>
      <c r="D39" s="87">
        <v>45853</v>
      </c>
      <c r="E39" s="86">
        <v>38.4</v>
      </c>
      <c r="F39" s="86">
        <v>21.1</v>
      </c>
      <c r="G39" s="86">
        <v>5.4</v>
      </c>
      <c r="H39" s="86">
        <v>27.3</v>
      </c>
      <c r="I39" s="79">
        <f t="shared" si="1"/>
        <v>5.4</v>
      </c>
      <c r="J39" s="61">
        <f t="shared" si="2"/>
        <v>5.4</v>
      </c>
      <c r="K39" s="61">
        <f t="shared" si="3"/>
        <v>0</v>
      </c>
      <c r="L39" s="61">
        <f t="shared" si="4"/>
        <v>5.4</v>
      </c>
      <c r="M39" s="61">
        <f t="shared" si="5"/>
        <v>0</v>
      </c>
      <c r="N39" s="61">
        <f t="shared" si="6"/>
        <v>21.1</v>
      </c>
      <c r="O39" s="61">
        <f t="shared" si="7"/>
        <v>15.700000000000001</v>
      </c>
      <c r="P39" s="61">
        <f t="shared" si="8"/>
        <v>5.4</v>
      </c>
      <c r="Q39" s="61">
        <f t="shared" si="9"/>
        <v>0</v>
      </c>
    </row>
    <row r="40" spans="1:17" customFormat="1" ht="13.5">
      <c r="C40" s="55" t="s">
        <v>38</v>
      </c>
      <c r="D40" s="87">
        <v>44303</v>
      </c>
      <c r="E40" s="86">
        <v>22.2</v>
      </c>
      <c r="F40" s="86">
        <v>28.9</v>
      </c>
      <c r="G40" s="86">
        <v>17.899999999999999</v>
      </c>
      <c r="H40" s="86">
        <v>31.9</v>
      </c>
      <c r="I40" s="79">
        <f t="shared" si="1"/>
        <v>17.899999999999999</v>
      </c>
      <c r="J40" s="61">
        <f t="shared" si="2"/>
        <v>17.899999999999999</v>
      </c>
      <c r="K40" s="61">
        <f t="shared" si="3"/>
        <v>0</v>
      </c>
      <c r="L40" s="61">
        <f t="shared" si="4"/>
        <v>17.899999999999999</v>
      </c>
      <c r="M40" s="61">
        <f t="shared" si="5"/>
        <v>0</v>
      </c>
      <c r="N40" s="61">
        <f t="shared" si="6"/>
        <v>22.2</v>
      </c>
      <c r="O40" s="61">
        <f t="shared" si="7"/>
        <v>4.3000000000000007</v>
      </c>
      <c r="P40" s="61">
        <f t="shared" si="8"/>
        <v>17.899999999999999</v>
      </c>
      <c r="Q40" s="61">
        <f t="shared" si="9"/>
        <v>0</v>
      </c>
    </row>
    <row r="41" spans="1:17" customFormat="1" ht="13.5">
      <c r="C41" s="55" t="s">
        <v>39</v>
      </c>
      <c r="D41" s="87">
        <v>42793</v>
      </c>
      <c r="E41" s="86">
        <v>6.5</v>
      </c>
      <c r="F41" s="86">
        <v>25.9</v>
      </c>
      <c r="G41" s="86">
        <v>21.2</v>
      </c>
      <c r="H41" s="86">
        <v>23.2</v>
      </c>
      <c r="I41" s="79">
        <f t="shared" si="1"/>
        <v>6.5</v>
      </c>
      <c r="J41" s="61">
        <f t="shared" si="2"/>
        <v>21.2</v>
      </c>
      <c r="K41" s="61">
        <f t="shared" si="3"/>
        <v>14.7</v>
      </c>
      <c r="L41" s="61">
        <f t="shared" si="4"/>
        <v>6.5</v>
      </c>
      <c r="M41" s="61">
        <f t="shared" si="5"/>
        <v>0</v>
      </c>
      <c r="N41" s="61">
        <f t="shared" si="6"/>
        <v>6.5</v>
      </c>
      <c r="O41" s="61">
        <f t="shared" si="7"/>
        <v>0</v>
      </c>
      <c r="P41" s="61">
        <f t="shared" si="8"/>
        <v>6.5</v>
      </c>
      <c r="Q41" s="61">
        <f t="shared" si="9"/>
        <v>0</v>
      </c>
    </row>
    <row r="42" spans="1:17" customFormat="1" ht="13.5">
      <c r="C42" s="55" t="s">
        <v>33</v>
      </c>
      <c r="D42" s="87">
        <v>38597</v>
      </c>
      <c r="E42" s="86">
        <v>39.200000000000003</v>
      </c>
      <c r="F42" s="86">
        <v>42.4</v>
      </c>
      <c r="G42" s="86">
        <v>12.2</v>
      </c>
      <c r="H42" s="86">
        <v>37.299999999999997</v>
      </c>
      <c r="I42" s="79">
        <f t="shared" si="1"/>
        <v>12.2</v>
      </c>
      <c r="J42" s="61">
        <f t="shared" si="2"/>
        <v>12.2</v>
      </c>
      <c r="K42" s="61">
        <f t="shared" si="3"/>
        <v>0</v>
      </c>
      <c r="L42" s="61">
        <f t="shared" si="4"/>
        <v>12.2</v>
      </c>
      <c r="M42" s="61">
        <f t="shared" si="5"/>
        <v>0</v>
      </c>
      <c r="N42" s="61">
        <f t="shared" si="6"/>
        <v>37.299999999999997</v>
      </c>
      <c r="O42" s="61">
        <f t="shared" si="7"/>
        <v>25.099999999999998</v>
      </c>
      <c r="P42" s="61">
        <f t="shared" si="8"/>
        <v>12.2</v>
      </c>
      <c r="Q42" s="61">
        <f t="shared" si="9"/>
        <v>0</v>
      </c>
    </row>
    <row r="43" spans="1:17" customFormat="1" ht="13.5">
      <c r="C43" s="55" t="s">
        <v>40</v>
      </c>
      <c r="D43" s="87">
        <v>36850</v>
      </c>
      <c r="E43" s="86">
        <v>21.4</v>
      </c>
      <c r="F43" s="86">
        <v>21</v>
      </c>
      <c r="G43" s="86">
        <v>33.700000000000003</v>
      </c>
      <c r="H43" s="86">
        <v>13.4</v>
      </c>
      <c r="I43" s="79">
        <f t="shared" si="1"/>
        <v>13.4</v>
      </c>
      <c r="J43" s="61">
        <f t="shared" si="2"/>
        <v>13.4</v>
      </c>
      <c r="K43" s="61">
        <f t="shared" si="3"/>
        <v>0</v>
      </c>
      <c r="L43" s="61">
        <f t="shared" si="4"/>
        <v>13.4</v>
      </c>
      <c r="M43" s="61">
        <f t="shared" si="5"/>
        <v>0</v>
      </c>
      <c r="N43" s="61">
        <f t="shared" si="6"/>
        <v>13.4</v>
      </c>
      <c r="O43" s="61">
        <f t="shared" si="7"/>
        <v>0</v>
      </c>
      <c r="P43" s="61">
        <f t="shared" si="8"/>
        <v>21</v>
      </c>
      <c r="Q43" s="61">
        <f t="shared" si="9"/>
        <v>7.6</v>
      </c>
    </row>
    <row r="44" spans="1:17" customFormat="1" ht="13.5">
      <c r="C44" s="62"/>
      <c r="D44" s="89"/>
      <c r="E44" s="90"/>
      <c r="F44" s="90"/>
      <c r="G44" s="90"/>
      <c r="H44" s="90"/>
      <c r="I44" s="88"/>
      <c r="J44" s="65"/>
      <c r="K44" s="65"/>
      <c r="L44" s="65"/>
      <c r="M44" s="65"/>
      <c r="N44" s="65"/>
      <c r="O44" s="65"/>
      <c r="P44" s="65"/>
      <c r="Q44" s="65"/>
    </row>
    <row r="45" spans="1:17" s="6" customFormat="1">
      <c r="A45" s="5" t="s">
        <v>43</v>
      </c>
      <c r="B45" s="6" t="s">
        <v>44</v>
      </c>
      <c r="D45" s="75"/>
      <c r="E45" s="75"/>
      <c r="F45" s="75"/>
      <c r="G45" s="75"/>
      <c r="H45" s="75"/>
    </row>
  </sheetData>
  <autoFilter ref="C29:Q29" xr:uid="{0D0AFAE7-AB16-4750-8A5A-1A69385FCA13}">
    <sortState xmlns:xlrd2="http://schemas.microsoft.com/office/spreadsheetml/2017/richdata2" ref="C30:Q43">
      <sortCondition descending="1" ref="D29"/>
    </sortState>
  </autoFilter>
  <mergeCells count="9">
    <mergeCell ref="L28:M28"/>
    <mergeCell ref="N28:O28"/>
    <mergeCell ref="P28:Q28"/>
    <mergeCell ref="D8:E8"/>
    <mergeCell ref="D9:E9"/>
    <mergeCell ref="D10:E10"/>
    <mergeCell ref="D11:E11"/>
    <mergeCell ref="E28:I28"/>
    <mergeCell ref="J28:K28"/>
  </mergeCells>
  <conditionalFormatting sqref="D9:E9">
    <cfRule type="containsText" dxfId="17" priority="1" operator="containsText" text="TRUE">
      <formula>NOT(ISERROR(SEARCH("TRUE",D9)))</formula>
    </cfRule>
    <cfRule type="cellIs" dxfId="16" priority="5" operator="equal">
      <formula>#REF!/SUM($D$30:$D$43)</formula>
    </cfRule>
  </conditionalFormatting>
  <conditionalFormatting sqref="D24:G24">
    <cfRule type="containsText" dxfId="15" priority="2" operator="containsText" text="True">
      <formula>NOT(ISERROR(SEARCH("True",D24)))</formula>
    </cfRule>
    <cfRule type="containsText" dxfId="14" priority="3" operator="containsText" text="false">
      <formula>NOT(ISERROR(SEARCH("false",D24)))</formula>
    </cfRule>
  </conditionalFormatting>
  <hyperlinks>
    <hyperlink ref="A1" location="Index!B5" display="Index" xr:uid="{9DE44877-D11C-4173-AECE-9AFB29FD16CA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" operator="equal" id="{C1F7F840-9602-4D59-AA43-D060D7A2C447}">
            <xm:f>'1.3 Functions - Solution'!$D10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D9:D11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9D47E-1798-4050-82FA-68E0F546F05B}">
  <sheetPr>
    <tabColor theme="2"/>
  </sheetPr>
  <dimension ref="A1:EB174"/>
  <sheetViews>
    <sheetView showGridLines="0" zoomScaleNormal="100" workbookViewId="0">
      <pane xSplit="2" ySplit="7" topLeftCell="C88" activePane="bottomRight" state="frozen"/>
      <selection pane="bottomRight" activeCell="F107" sqref="F107"/>
      <selection pane="bottomLeft" activeCell="A8" sqref="A8"/>
      <selection pane="topRight" activeCell="C1" sqref="C1"/>
    </sheetView>
  </sheetViews>
  <sheetFormatPr defaultColWidth="8.375" defaultRowHeight="13.5"/>
  <cols>
    <col min="1" max="2" width="3.375" style="98" customWidth="1"/>
    <col min="3" max="3" width="8.375" style="98"/>
    <col min="4" max="4" width="9.375" style="98" bestFit="1" customWidth="1"/>
    <col min="5" max="6" width="34.875" style="98" customWidth="1"/>
    <col min="7" max="12" width="10.375" style="98" customWidth="1"/>
    <col min="13" max="13" width="3.625" style="98" customWidth="1"/>
    <col min="14" max="14" width="15.375" style="98" customWidth="1"/>
    <col min="15" max="16384" width="8.375" style="98"/>
  </cols>
  <sheetData>
    <row r="1" spans="1:9" ht="19.5">
      <c r="A1" s="4" t="s">
        <v>286</v>
      </c>
      <c r="C1" s="99" t="e">
        <f ca="1">MID(CELL("filename",A1),FIND("]",CELL("filename",A1))+1,LEN(CELL("filename",A1))-FIND("]",CELL("filename",A1)))</f>
        <v>#VALUE!</v>
      </c>
      <c r="D1" s="100"/>
      <c r="E1" s="101"/>
      <c r="F1" s="102"/>
      <c r="G1" s="103"/>
      <c r="H1" s="104">
        <f ca="1">TODAY()</f>
        <v>46010</v>
      </c>
      <c r="I1" s="105">
        <f ca="1">NOW()</f>
        <v>46010.527948148148</v>
      </c>
    </row>
    <row r="2" spans="1:9" s="106" customFormat="1" ht="14.1">
      <c r="A2" s="4"/>
      <c r="C2" s="107"/>
      <c r="D2" s="108"/>
      <c r="E2" s="108"/>
      <c r="F2" s="108"/>
      <c r="G2" s="108"/>
      <c r="H2" s="108"/>
      <c r="I2" s="109"/>
    </row>
    <row r="4" spans="1:9" s="6" customFormat="1" ht="14.1">
      <c r="A4" s="5">
        <v>1</v>
      </c>
      <c r="C4" s="6" t="s">
        <v>80</v>
      </c>
      <c r="D4" s="75"/>
      <c r="E4" s="75"/>
      <c r="F4" s="75"/>
      <c r="G4" s="75"/>
      <c r="H4" s="75"/>
    </row>
    <row r="5" spans="1:9" s="106" customFormat="1">
      <c r="A5" s="110"/>
      <c r="B5" s="110"/>
    </row>
    <row r="6" spans="1:9" s="106" customFormat="1">
      <c r="A6" s="110"/>
      <c r="B6" s="110"/>
      <c r="C6" s="148" t="s">
        <v>81</v>
      </c>
      <c r="D6" s="106" t="s">
        <v>82</v>
      </c>
    </row>
    <row r="7" spans="1:9" s="106" customFormat="1">
      <c r="A7" s="110"/>
      <c r="B7" s="110"/>
    </row>
    <row r="8" spans="1:9" s="6" customFormat="1" ht="14.1">
      <c r="A8"/>
      <c r="B8" s="5" t="s">
        <v>83</v>
      </c>
      <c r="C8" s="6" t="s">
        <v>84</v>
      </c>
      <c r="D8" s="75"/>
      <c r="E8" s="75"/>
      <c r="F8" s="75"/>
      <c r="G8" s="75"/>
      <c r="H8" s="75"/>
    </row>
    <row r="10" spans="1:9" ht="14.1">
      <c r="C10" s="111" t="s">
        <v>85</v>
      </c>
    </row>
    <row r="12" spans="1:9">
      <c r="D12" s="112" t="s">
        <v>86</v>
      </c>
      <c r="E12" s="113" t="s">
        <v>87</v>
      </c>
      <c r="F12" s="114" t="s">
        <v>88</v>
      </c>
    </row>
    <row r="13" spans="1:9">
      <c r="D13" s="115" t="s">
        <v>89</v>
      </c>
      <c r="E13" s="116" t="s">
        <v>90</v>
      </c>
      <c r="F13" s="117">
        <v>25895.648225224126</v>
      </c>
    </row>
    <row r="14" spans="1:9">
      <c r="D14" s="115" t="s">
        <v>91</v>
      </c>
      <c r="E14" s="116" t="s">
        <v>92</v>
      </c>
      <c r="F14" s="117">
        <v>16844.750599924373</v>
      </c>
    </row>
    <row r="15" spans="1:9">
      <c r="D15" s="115" t="s">
        <v>93</v>
      </c>
      <c r="E15" s="116" t="s">
        <v>94</v>
      </c>
      <c r="F15" s="117">
        <v>5171.3466840634164</v>
      </c>
    </row>
    <row r="16" spans="1:9">
      <c r="D16" s="115" t="s">
        <v>95</v>
      </c>
      <c r="E16" s="116" t="s">
        <v>96</v>
      </c>
      <c r="F16" s="117">
        <v>2097.7191763775413</v>
      </c>
    </row>
    <row r="17" spans="4:6">
      <c r="D17" s="115" t="s">
        <v>91</v>
      </c>
      <c r="E17" s="116" t="s">
        <v>97</v>
      </c>
      <c r="F17" s="117">
        <v>11954.269258884242</v>
      </c>
    </row>
    <row r="18" spans="4:6">
      <c r="D18" s="115" t="s">
        <v>89</v>
      </c>
      <c r="E18" s="116" t="s">
        <v>98</v>
      </c>
      <c r="F18" s="117">
        <v>7022.3388667854151</v>
      </c>
    </row>
    <row r="19" spans="4:6">
      <c r="D19" s="115" t="s">
        <v>91</v>
      </c>
      <c r="E19" s="116" t="s">
        <v>99</v>
      </c>
      <c r="F19" s="117">
        <v>8029.5090805860336</v>
      </c>
    </row>
    <row r="20" spans="4:6">
      <c r="D20" s="115" t="s">
        <v>93</v>
      </c>
      <c r="E20" s="116" t="s">
        <v>100</v>
      </c>
      <c r="F20" s="117">
        <v>13656.864061828412</v>
      </c>
    </row>
    <row r="21" spans="4:6">
      <c r="D21" s="115" t="s">
        <v>95</v>
      </c>
      <c r="E21" s="116" t="s">
        <v>101</v>
      </c>
      <c r="F21" s="117">
        <v>9703.823335491632</v>
      </c>
    </row>
    <row r="22" spans="4:6">
      <c r="D22" s="115" t="s">
        <v>91</v>
      </c>
      <c r="E22" s="116" t="s">
        <v>102</v>
      </c>
      <c r="F22" s="117">
        <v>7726.1124347208251</v>
      </c>
    </row>
    <row r="23" spans="4:6">
      <c r="D23" s="115" t="s">
        <v>89</v>
      </c>
      <c r="E23" s="116" t="s">
        <v>103</v>
      </c>
      <c r="F23" s="117">
        <v>7428.5442397058141</v>
      </c>
    </row>
    <row r="24" spans="4:6">
      <c r="D24" s="115" t="s">
        <v>91</v>
      </c>
      <c r="E24" s="116" t="s">
        <v>104</v>
      </c>
      <c r="F24" s="117">
        <v>11533.718799040878</v>
      </c>
    </row>
    <row r="25" spans="4:6">
      <c r="D25" s="115" t="s">
        <v>93</v>
      </c>
      <c r="E25" s="116" t="s">
        <v>105</v>
      </c>
      <c r="F25" s="117">
        <v>11968.751606615406</v>
      </c>
    </row>
    <row r="26" spans="4:6">
      <c r="D26" s="115" t="s">
        <v>95</v>
      </c>
      <c r="E26" s="116" t="s">
        <v>106</v>
      </c>
      <c r="F26" s="117">
        <v>4284.8052782731847</v>
      </c>
    </row>
    <row r="27" spans="4:6">
      <c r="D27" s="115" t="s">
        <v>91</v>
      </c>
      <c r="E27" s="116" t="s">
        <v>107</v>
      </c>
      <c r="F27" s="117">
        <v>10774.342520488877</v>
      </c>
    </row>
    <row r="28" spans="4:6">
      <c r="D28" s="115" t="s">
        <v>89</v>
      </c>
      <c r="E28" s="116" t="s">
        <v>108</v>
      </c>
      <c r="F28" s="117">
        <v>7717.7285714445543</v>
      </c>
    </row>
    <row r="29" spans="4:6">
      <c r="D29" s="115" t="s">
        <v>91</v>
      </c>
      <c r="E29" s="116" t="s">
        <v>109</v>
      </c>
      <c r="F29" s="117">
        <v>8567.547901431255</v>
      </c>
    </row>
    <row r="30" spans="4:6" ht="12" customHeight="1">
      <c r="D30" s="115" t="s">
        <v>93</v>
      </c>
      <c r="E30" s="116" t="s">
        <v>110</v>
      </c>
      <c r="F30" s="117">
        <v>6302.0472850143642</v>
      </c>
    </row>
    <row r="31" spans="4:6">
      <c r="D31" s="115" t="s">
        <v>95</v>
      </c>
      <c r="E31" s="116" t="s">
        <v>111</v>
      </c>
      <c r="F31" s="117">
        <v>12735.110363828502</v>
      </c>
    </row>
    <row r="32" spans="4:6">
      <c r="D32" s="115" t="s">
        <v>91</v>
      </c>
      <c r="E32" s="116" t="s">
        <v>112</v>
      </c>
      <c r="F32" s="117">
        <v>7280.8569389817885</v>
      </c>
    </row>
    <row r="33" spans="4:6">
      <c r="D33" s="115" t="s">
        <v>89</v>
      </c>
      <c r="E33" s="116" t="s">
        <v>113</v>
      </c>
      <c r="F33" s="117">
        <v>7311.687013663267</v>
      </c>
    </row>
    <row r="34" spans="4:6">
      <c r="D34" s="115" t="s">
        <v>91</v>
      </c>
      <c r="E34" s="116" t="s">
        <v>114</v>
      </c>
      <c r="F34" s="117">
        <v>3958.0515082940765</v>
      </c>
    </row>
    <row r="35" spans="4:6">
      <c r="D35" s="115" t="s">
        <v>93</v>
      </c>
      <c r="E35" s="116" t="s">
        <v>115</v>
      </c>
      <c r="F35" s="117">
        <v>12513.266133676427</v>
      </c>
    </row>
    <row r="36" spans="4:6">
      <c r="D36" s="115" t="s">
        <v>95</v>
      </c>
      <c r="E36" s="116" t="s">
        <v>116</v>
      </c>
      <c r="F36" s="117">
        <v>11228.758174583172</v>
      </c>
    </row>
    <row r="37" spans="4:6">
      <c r="D37" s="115" t="s">
        <v>91</v>
      </c>
      <c r="E37" s="116" t="s">
        <v>117</v>
      </c>
      <c r="F37" s="117">
        <v>8017.7809291224112</v>
      </c>
    </row>
    <row r="38" spans="4:6">
      <c r="D38" s="115" t="s">
        <v>89</v>
      </c>
      <c r="E38" s="116" t="s">
        <v>118</v>
      </c>
      <c r="F38" s="117">
        <v>3941.6883204250776</v>
      </c>
    </row>
    <row r="39" spans="4:6">
      <c r="D39" s="115" t="s">
        <v>91</v>
      </c>
      <c r="E39" s="116" t="s">
        <v>119</v>
      </c>
      <c r="F39" s="117">
        <v>2399.8126807583599</v>
      </c>
    </row>
    <row r="40" spans="4:6">
      <c r="D40" s="115" t="s">
        <v>93</v>
      </c>
      <c r="E40" s="116" t="s">
        <v>120</v>
      </c>
      <c r="F40" s="117">
        <v>7234.8645888754663</v>
      </c>
    </row>
    <row r="41" spans="4:6">
      <c r="D41" s="115" t="s">
        <v>95</v>
      </c>
      <c r="E41" s="116" t="s">
        <v>121</v>
      </c>
      <c r="F41" s="117">
        <v>8144.3976622469463</v>
      </c>
    </row>
    <row r="42" spans="4:6">
      <c r="D42" s="115" t="s">
        <v>91</v>
      </c>
      <c r="E42" s="116" t="s">
        <v>122</v>
      </c>
      <c r="F42" s="117">
        <v>5958.7573063305645</v>
      </c>
    </row>
    <row r="43" spans="4:6">
      <c r="D43" s="115" t="s">
        <v>89</v>
      </c>
      <c r="E43" s="116" t="s">
        <v>123</v>
      </c>
      <c r="F43" s="117">
        <v>6684.5042603322026</v>
      </c>
    </row>
    <row r="44" spans="4:6">
      <c r="D44" s="115" t="s">
        <v>91</v>
      </c>
      <c r="E44" s="116" t="s">
        <v>124</v>
      </c>
      <c r="F44" s="117">
        <v>8690.2301614530606</v>
      </c>
    </row>
    <row r="45" spans="4:6">
      <c r="D45" s="115" t="s">
        <v>93</v>
      </c>
      <c r="E45" s="116" t="s">
        <v>125</v>
      </c>
      <c r="F45" s="117">
        <v>5312.286350781068</v>
      </c>
    </row>
    <row r="46" spans="4:6">
      <c r="D46" s="115" t="s">
        <v>95</v>
      </c>
      <c r="E46" s="116" t="s">
        <v>126</v>
      </c>
      <c r="F46" s="117">
        <v>1546.0135089608023</v>
      </c>
    </row>
    <row r="47" spans="4:6">
      <c r="D47" s="115" t="s">
        <v>91</v>
      </c>
      <c r="E47" s="116" t="s">
        <v>127</v>
      </c>
      <c r="F47" s="117">
        <v>1846.2705231397815</v>
      </c>
    </row>
    <row r="48" spans="4:6">
      <c r="D48" s="115" t="s">
        <v>89</v>
      </c>
      <c r="E48" s="116" t="s">
        <v>128</v>
      </c>
      <c r="F48" s="117">
        <v>504.89165002878241</v>
      </c>
    </row>
    <row r="49" spans="4:16">
      <c r="D49" s="115" t="s">
        <v>91</v>
      </c>
      <c r="E49" s="116" t="s">
        <v>129</v>
      </c>
      <c r="F49" s="117">
        <v>5819.9181936572577</v>
      </c>
    </row>
    <row r="50" spans="4:16">
      <c r="D50" s="115" t="s">
        <v>93</v>
      </c>
      <c r="E50" s="116" t="s">
        <v>130</v>
      </c>
      <c r="F50" s="117">
        <v>8586.5582781513149</v>
      </c>
    </row>
    <row r="51" spans="4:16">
      <c r="D51" s="115" t="s">
        <v>95</v>
      </c>
      <c r="E51" s="116" t="s">
        <v>131</v>
      </c>
      <c r="F51" s="117">
        <v>4991.6463253174952</v>
      </c>
    </row>
    <row r="52" spans="4:16">
      <c r="D52" s="115" t="s">
        <v>91</v>
      </c>
      <c r="E52" s="116" t="s">
        <v>132</v>
      </c>
      <c r="F52" s="117">
        <v>8553.0260981656756</v>
      </c>
    </row>
    <row r="53" spans="4:16">
      <c r="D53" s="115" t="s">
        <v>89</v>
      </c>
      <c r="E53" s="116" t="s">
        <v>133</v>
      </c>
      <c r="F53" s="117">
        <v>13149.165184548647</v>
      </c>
    </row>
    <row r="54" spans="4:16">
      <c r="D54" s="115" t="s">
        <v>91</v>
      </c>
      <c r="E54" s="116" t="s">
        <v>134</v>
      </c>
      <c r="F54" s="117">
        <v>17355.017184505519</v>
      </c>
      <c r="G54" s="118"/>
      <c r="H54" s="118"/>
      <c r="I54" s="118"/>
      <c r="J54" s="118"/>
      <c r="K54" s="118"/>
      <c r="L54" s="118"/>
      <c r="M54" s="118"/>
      <c r="N54" s="118"/>
      <c r="O54" s="118"/>
      <c r="P54" s="118"/>
    </row>
    <row r="55" spans="4:16">
      <c r="D55" s="115" t="s">
        <v>93</v>
      </c>
      <c r="E55" s="116" t="s">
        <v>135</v>
      </c>
      <c r="F55" s="117">
        <v>11697.945642140592</v>
      </c>
      <c r="G55" s="118"/>
      <c r="H55" s="118"/>
      <c r="I55" s="118"/>
      <c r="J55" s="118"/>
      <c r="K55" s="118"/>
      <c r="L55" s="118"/>
      <c r="M55" s="118"/>
      <c r="N55" s="118"/>
      <c r="O55" s="118"/>
      <c r="P55" s="118"/>
    </row>
    <row r="56" spans="4:16">
      <c r="D56" s="115" t="s">
        <v>95</v>
      </c>
      <c r="E56" s="119" t="s">
        <v>136</v>
      </c>
      <c r="F56" s="120">
        <v>6227.5464690011431</v>
      </c>
      <c r="G56" s="118"/>
      <c r="H56" s="118"/>
      <c r="I56" s="118"/>
      <c r="J56" s="118"/>
      <c r="K56" s="118"/>
      <c r="L56" s="118"/>
      <c r="M56" s="118"/>
      <c r="N56" s="118"/>
      <c r="O56" s="118"/>
      <c r="P56" s="118"/>
    </row>
    <row r="57" spans="4:16">
      <c r="D57" s="115" t="s">
        <v>91</v>
      </c>
      <c r="E57" s="116" t="s">
        <v>137</v>
      </c>
      <c r="F57" s="117">
        <v>11523.589232014203</v>
      </c>
      <c r="G57" s="118"/>
      <c r="H57" s="118"/>
      <c r="I57" s="118"/>
      <c r="J57" s="118"/>
      <c r="K57" s="118"/>
      <c r="L57" s="118"/>
      <c r="M57" s="118"/>
      <c r="N57" s="118"/>
      <c r="O57" s="118"/>
      <c r="P57" s="118"/>
    </row>
    <row r="58" spans="4:16">
      <c r="D58" s="115" t="s">
        <v>89</v>
      </c>
      <c r="E58" s="116" t="s">
        <v>138</v>
      </c>
      <c r="F58" s="117">
        <v>6532.9017670155736</v>
      </c>
      <c r="G58" s="118"/>
      <c r="H58" s="118"/>
      <c r="I58" s="118"/>
      <c r="J58" s="118"/>
      <c r="K58" s="118"/>
      <c r="L58" s="118"/>
      <c r="M58" s="118"/>
      <c r="N58" s="118"/>
      <c r="O58" s="118"/>
      <c r="P58" s="118"/>
    </row>
    <row r="59" spans="4:16">
      <c r="D59" s="115" t="s">
        <v>91</v>
      </c>
      <c r="E59" s="116" t="s">
        <v>139</v>
      </c>
      <c r="F59" s="117">
        <v>14841.504222659045</v>
      </c>
      <c r="G59" s="118"/>
      <c r="H59" s="118"/>
      <c r="I59" s="118"/>
      <c r="J59" s="118"/>
      <c r="K59" s="118"/>
      <c r="L59" s="118"/>
      <c r="M59" s="118"/>
      <c r="N59" s="118"/>
      <c r="O59" s="118"/>
      <c r="P59" s="118"/>
    </row>
    <row r="60" spans="4:16">
      <c r="D60" s="115" t="s">
        <v>93</v>
      </c>
      <c r="E60" s="116" t="s">
        <v>140</v>
      </c>
      <c r="F60" s="117">
        <v>6161.9037527937471</v>
      </c>
      <c r="G60" s="118"/>
      <c r="H60" s="118"/>
      <c r="I60" s="118"/>
      <c r="J60" s="118"/>
      <c r="K60" s="118"/>
      <c r="L60" s="118"/>
      <c r="M60" s="118"/>
      <c r="N60" s="118"/>
      <c r="O60" s="118"/>
      <c r="P60" s="118"/>
    </row>
    <row r="61" spans="4:16">
      <c r="D61" s="115" t="s">
        <v>95</v>
      </c>
      <c r="E61" s="116" t="s">
        <v>141</v>
      </c>
      <c r="F61" s="117">
        <v>7860.7491689426633</v>
      </c>
      <c r="G61" s="118"/>
      <c r="H61" s="118"/>
      <c r="I61" s="118"/>
      <c r="J61" s="118"/>
      <c r="K61" s="118"/>
      <c r="L61" s="118"/>
      <c r="M61" s="118"/>
      <c r="N61" s="118"/>
      <c r="O61" s="118"/>
      <c r="P61" s="118"/>
    </row>
    <row r="62" spans="4:16">
      <c r="D62" s="115" t="s">
        <v>91</v>
      </c>
      <c r="E62" s="116" t="s">
        <v>142</v>
      </c>
      <c r="F62" s="117">
        <v>10600.897712243113</v>
      </c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4:16">
      <c r="D63" s="115" t="s">
        <v>89</v>
      </c>
      <c r="E63" s="116" t="s">
        <v>143</v>
      </c>
      <c r="F63" s="117">
        <v>4480.5416598028851</v>
      </c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4:16">
      <c r="D64" s="115" t="s">
        <v>91</v>
      </c>
      <c r="E64" s="116" t="s">
        <v>144</v>
      </c>
      <c r="F64" s="117">
        <v>6817.8629016444766</v>
      </c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4:16">
      <c r="D65" s="115" t="s">
        <v>93</v>
      </c>
      <c r="E65" s="116" t="s">
        <v>145</v>
      </c>
      <c r="F65" s="117">
        <v>10352.871213928353</v>
      </c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  <row r="66" spans="4:16">
      <c r="D66" s="115" t="s">
        <v>95</v>
      </c>
      <c r="E66" s="116" t="s">
        <v>146</v>
      </c>
      <c r="F66" s="117">
        <v>5834.0517111051031</v>
      </c>
      <c r="G66" s="118"/>
      <c r="H66" s="118"/>
      <c r="I66" s="118"/>
      <c r="J66" s="118"/>
      <c r="K66" s="118"/>
      <c r="L66" s="118"/>
      <c r="M66" s="118"/>
      <c r="N66" s="118"/>
      <c r="O66" s="118"/>
      <c r="P66" s="118"/>
    </row>
    <row r="67" spans="4:16">
      <c r="D67" s="115" t="s">
        <v>91</v>
      </c>
      <c r="E67" s="116" t="s">
        <v>147</v>
      </c>
      <c r="F67" s="117">
        <v>6609.4410107719095</v>
      </c>
      <c r="G67" s="118"/>
      <c r="H67" s="118"/>
      <c r="I67" s="118"/>
      <c r="J67" s="118"/>
      <c r="K67" s="118"/>
      <c r="L67" s="118"/>
      <c r="M67" s="118"/>
      <c r="N67" s="118"/>
      <c r="O67" s="118"/>
      <c r="P67" s="118"/>
    </row>
    <row r="68" spans="4:16">
      <c r="D68" s="115" t="s">
        <v>89</v>
      </c>
      <c r="E68" s="116" t="s">
        <v>148</v>
      </c>
      <c r="F68" s="117">
        <v>7864.1467747025436</v>
      </c>
      <c r="G68" s="118"/>
      <c r="H68" s="118"/>
      <c r="I68" s="118"/>
      <c r="J68" s="118"/>
      <c r="K68" s="118"/>
      <c r="L68" s="118"/>
      <c r="M68" s="118"/>
      <c r="N68" s="118"/>
      <c r="O68" s="118"/>
      <c r="P68" s="118"/>
    </row>
    <row r="69" spans="4:16">
      <c r="D69" s="115" t="s">
        <v>91</v>
      </c>
      <c r="E69" s="116" t="s">
        <v>149</v>
      </c>
      <c r="F69" s="117">
        <v>5138.2314044059167</v>
      </c>
      <c r="G69" s="118"/>
      <c r="H69" s="118"/>
      <c r="I69" s="118"/>
      <c r="J69" s="118"/>
      <c r="K69" s="118"/>
      <c r="L69" s="118"/>
      <c r="M69" s="118"/>
      <c r="N69" s="118"/>
      <c r="O69" s="118"/>
      <c r="P69" s="118"/>
    </row>
    <row r="70" spans="4:16">
      <c r="D70" s="115" t="s">
        <v>93</v>
      </c>
      <c r="E70" s="116" t="s">
        <v>150</v>
      </c>
      <c r="F70" s="117">
        <v>6163.8976633754573</v>
      </c>
      <c r="G70" s="118"/>
      <c r="H70" s="118"/>
      <c r="I70" s="118"/>
      <c r="J70" s="118"/>
      <c r="K70" s="118"/>
      <c r="L70" s="118"/>
      <c r="M70" s="118"/>
      <c r="N70" s="118"/>
      <c r="O70" s="118"/>
      <c r="P70" s="118"/>
    </row>
    <row r="71" spans="4:16">
      <c r="D71" s="115" t="s">
        <v>95</v>
      </c>
      <c r="E71" s="116" t="s">
        <v>151</v>
      </c>
      <c r="F71" s="117">
        <v>7090.6110378396015</v>
      </c>
      <c r="G71" s="118"/>
      <c r="H71" s="118"/>
      <c r="I71" s="118"/>
      <c r="J71" s="118"/>
      <c r="K71" s="118"/>
      <c r="L71" s="118"/>
      <c r="M71" s="118"/>
      <c r="N71" s="118"/>
      <c r="O71" s="118"/>
      <c r="P71" s="118"/>
    </row>
    <row r="72" spans="4:16">
      <c r="D72" s="115" t="s">
        <v>91</v>
      </c>
      <c r="E72" s="116" t="s">
        <v>152</v>
      </c>
      <c r="F72" s="117">
        <v>5297.892168127747</v>
      </c>
    </row>
    <row r="73" spans="4:16">
      <c r="D73" s="115" t="s">
        <v>89</v>
      </c>
      <c r="E73" s="116" t="s">
        <v>153</v>
      </c>
      <c r="F73" s="117">
        <v>4919.9348491417595</v>
      </c>
    </row>
    <row r="74" spans="4:16">
      <c r="D74" s="115" t="s">
        <v>91</v>
      </c>
      <c r="E74" s="116" t="s">
        <v>154</v>
      </c>
      <c r="F74" s="117">
        <v>4336.8853015822151</v>
      </c>
    </row>
    <row r="75" spans="4:16">
      <c r="D75" s="115" t="s">
        <v>93</v>
      </c>
      <c r="E75" s="116" t="s">
        <v>155</v>
      </c>
      <c r="F75" s="117">
        <v>5394.714401685651</v>
      </c>
    </row>
    <row r="76" spans="4:16">
      <c r="D76" s="115" t="s">
        <v>95</v>
      </c>
      <c r="E76" s="116" t="s">
        <v>156</v>
      </c>
      <c r="F76" s="117">
        <v>4490.2246759704221</v>
      </c>
    </row>
    <row r="77" spans="4:16">
      <c r="D77" s="115" t="s">
        <v>91</v>
      </c>
      <c r="E77" s="116" t="s">
        <v>157</v>
      </c>
      <c r="F77" s="117">
        <v>1725.305044100171</v>
      </c>
    </row>
    <row r="78" spans="4:16">
      <c r="D78" s="115" t="s">
        <v>89</v>
      </c>
      <c r="E78" s="116" t="s">
        <v>158</v>
      </c>
      <c r="F78" s="117">
        <v>3895.7486028152725</v>
      </c>
    </row>
    <row r="79" spans="4:16">
      <c r="D79" s="115" t="s">
        <v>91</v>
      </c>
      <c r="E79" s="116" t="s">
        <v>159</v>
      </c>
      <c r="F79" s="117">
        <v>10862.738565435408</v>
      </c>
    </row>
    <row r="80" spans="4:16">
      <c r="D80" s="115" t="s">
        <v>93</v>
      </c>
      <c r="E80" s="116" t="s">
        <v>160</v>
      </c>
      <c r="F80" s="117">
        <v>11992.671580337299</v>
      </c>
    </row>
    <row r="81" spans="4:6">
      <c r="D81" s="115" t="s">
        <v>95</v>
      </c>
      <c r="E81" s="116" t="s">
        <v>161</v>
      </c>
      <c r="F81" s="117">
        <v>14395.931009759846</v>
      </c>
    </row>
    <row r="82" spans="4:6">
      <c r="D82" s="115" t="s">
        <v>91</v>
      </c>
      <c r="E82" s="116" t="s">
        <v>162</v>
      </c>
      <c r="F82" s="117">
        <v>11072.517963321452</v>
      </c>
    </row>
    <row r="83" spans="4:6">
      <c r="D83" s="115" t="s">
        <v>89</v>
      </c>
      <c r="E83" s="116" t="s">
        <v>163</v>
      </c>
      <c r="F83" s="117">
        <v>16566.692547342202</v>
      </c>
    </row>
    <row r="84" spans="4:6">
      <c r="D84" s="115" t="s">
        <v>91</v>
      </c>
      <c r="E84" s="116" t="s">
        <v>164</v>
      </c>
      <c r="F84" s="117">
        <v>5928.3570765682834</v>
      </c>
    </row>
    <row r="85" spans="4:6">
      <c r="D85" s="115" t="s">
        <v>93</v>
      </c>
      <c r="E85" s="116" t="s">
        <v>165</v>
      </c>
      <c r="F85" s="117">
        <v>7086.5980720984562</v>
      </c>
    </row>
    <row r="86" spans="4:6">
      <c r="D86" s="115" t="s">
        <v>95</v>
      </c>
      <c r="E86" s="116" t="s">
        <v>166</v>
      </c>
      <c r="F86" s="117">
        <v>1783.6156145077273</v>
      </c>
    </row>
    <row r="87" spans="4:6">
      <c r="D87" s="115" t="s">
        <v>91</v>
      </c>
      <c r="E87" s="116" t="s">
        <v>167</v>
      </c>
      <c r="F87" s="117">
        <v>2990.4717109389726</v>
      </c>
    </row>
    <row r="88" spans="4:6">
      <c r="D88" s="115" t="s">
        <v>89</v>
      </c>
      <c r="E88" s="116" t="s">
        <v>168</v>
      </c>
      <c r="F88" s="117">
        <v>3900.442915635922</v>
      </c>
    </row>
    <row r="89" spans="4:6">
      <c r="D89" s="115" t="s">
        <v>91</v>
      </c>
      <c r="E89" s="116" t="s">
        <v>169</v>
      </c>
      <c r="F89" s="117">
        <v>5747.001889606262</v>
      </c>
    </row>
    <row r="90" spans="4:6">
      <c r="D90" s="115" t="s">
        <v>93</v>
      </c>
      <c r="E90" s="116" t="s">
        <v>170</v>
      </c>
      <c r="F90" s="117">
        <v>6754.9973219107123</v>
      </c>
    </row>
    <row r="91" spans="4:6">
      <c r="D91" s="115" t="s">
        <v>95</v>
      </c>
      <c r="E91" s="116" t="s">
        <v>171</v>
      </c>
      <c r="F91" s="117">
        <v>10.744652737339091</v>
      </c>
    </row>
    <row r="92" spans="4:6">
      <c r="D92" s="115" t="s">
        <v>91</v>
      </c>
      <c r="E92" s="116" t="s">
        <v>172</v>
      </c>
      <c r="F92" s="117">
        <v>1560.4582509353015</v>
      </c>
    </row>
    <row r="93" spans="4:6">
      <c r="D93" s="115" t="s">
        <v>89</v>
      </c>
      <c r="E93" s="116" t="s">
        <v>173</v>
      </c>
      <c r="F93" s="117">
        <v>1866.8570414678002</v>
      </c>
    </row>
    <row r="94" spans="4:6">
      <c r="D94" s="115" t="s">
        <v>91</v>
      </c>
      <c r="E94" s="116" t="s">
        <v>174</v>
      </c>
      <c r="F94" s="117">
        <v>4823.9507524616392</v>
      </c>
    </row>
    <row r="95" spans="4:6">
      <c r="D95" s="115" t="s">
        <v>93</v>
      </c>
      <c r="E95" s="116" t="s">
        <v>175</v>
      </c>
      <c r="F95" s="117">
        <v>22831.743456298369</v>
      </c>
    </row>
    <row r="96" spans="4:6">
      <c r="D96" s="115" t="s">
        <v>95</v>
      </c>
      <c r="E96" s="116" t="s">
        <v>176</v>
      </c>
      <c r="F96" s="117">
        <v>13420.839476614257</v>
      </c>
    </row>
    <row r="97" spans="3:132">
      <c r="D97" s="115" t="s">
        <v>91</v>
      </c>
      <c r="E97" s="116" t="s">
        <v>177</v>
      </c>
      <c r="F97" s="117">
        <v>4621.5006558899768</v>
      </c>
    </row>
    <row r="98" spans="3:132">
      <c r="D98" s="115" t="s">
        <v>89</v>
      </c>
      <c r="E98" s="116" t="s">
        <v>178</v>
      </c>
      <c r="F98" s="117">
        <v>19304.637514688067</v>
      </c>
    </row>
    <row r="99" spans="3:132">
      <c r="D99" s="121" t="s">
        <v>91</v>
      </c>
      <c r="E99" s="122" t="s">
        <v>179</v>
      </c>
      <c r="F99" s="123">
        <v>4793.4076932762582</v>
      </c>
    </row>
    <row r="100" spans="3:132">
      <c r="C100" s="124"/>
      <c r="D100" s="124"/>
      <c r="E100" s="124"/>
    </row>
    <row r="101" spans="3:132">
      <c r="C101" s="124"/>
      <c r="D101" s="124"/>
      <c r="E101" s="124"/>
    </row>
    <row r="102" spans="3:132" ht="14.1">
      <c r="C102" s="125" t="s">
        <v>180</v>
      </c>
      <c r="D102" s="124"/>
      <c r="E102" s="124"/>
    </row>
    <row r="103" spans="3:132">
      <c r="C103" s="124"/>
      <c r="D103" s="124"/>
      <c r="E103" s="124"/>
    </row>
    <row r="104" spans="3:132">
      <c r="C104" s="98" t="s">
        <v>181</v>
      </c>
      <c r="D104" s="149">
        <f>_xlfn.STDEV.P(F13:F99)</f>
        <v>4754.476334240806</v>
      </c>
      <c r="E104" s="124" t="s">
        <v>182</v>
      </c>
      <c r="G104" s="124"/>
      <c r="H104" s="124"/>
      <c r="EB104" s="149">
        <v>4754.476334240806</v>
      </c>
    </row>
    <row r="105" spans="3:132">
      <c r="D105" s="126"/>
      <c r="E105" s="124"/>
      <c r="G105" s="124"/>
      <c r="H105" s="124"/>
      <c r="EB105" s="126"/>
    </row>
    <row r="106" spans="3:132">
      <c r="C106" s="98" t="s">
        <v>183</v>
      </c>
      <c r="D106" s="150">
        <f>AVERAGE(F13:F99)</f>
        <v>7915.1724300617125</v>
      </c>
      <c r="E106" s="124" t="s">
        <v>184</v>
      </c>
      <c r="G106" s="124"/>
      <c r="H106" s="124"/>
      <c r="EB106" s="150">
        <v>7915.1724300617125</v>
      </c>
    </row>
    <row r="107" spans="3:132">
      <c r="D107" s="126"/>
      <c r="E107" s="124"/>
      <c r="G107" s="124"/>
      <c r="H107" s="124"/>
      <c r="EB107" s="126"/>
    </row>
    <row r="108" spans="3:132">
      <c r="C108" s="98" t="s">
        <v>185</v>
      </c>
      <c r="D108" s="149">
        <f>PERCENTILE(F13:F99,0.25)</f>
        <v>4871.9428008016994</v>
      </c>
      <c r="E108" s="124" t="s">
        <v>186</v>
      </c>
      <c r="G108" s="124"/>
      <c r="H108" s="124"/>
      <c r="EB108" s="149">
        <v>4871.9428008016994</v>
      </c>
    </row>
    <row r="109" spans="3:132">
      <c r="C109" s="98" t="s">
        <v>187</v>
      </c>
      <c r="D109" s="149">
        <f>MEDIAN(F13:F99)</f>
        <v>7022.3388667854151</v>
      </c>
      <c r="E109" s="124" t="s">
        <v>188</v>
      </c>
      <c r="G109" s="124"/>
      <c r="H109" s="124"/>
      <c r="EB109" s="149">
        <v>7022.3388667854151</v>
      </c>
    </row>
    <row r="110" spans="3:132">
      <c r="C110" s="98" t="s">
        <v>189</v>
      </c>
      <c r="D110" s="149">
        <f>_xlfn.PERCENTILE.INC(F13:F99,0.75)</f>
        <v>10818.540542962142</v>
      </c>
      <c r="E110" s="124" t="s">
        <v>190</v>
      </c>
      <c r="G110" s="124"/>
      <c r="H110" s="124"/>
      <c r="EB110" s="149">
        <v>10818.540542962142</v>
      </c>
    </row>
    <row r="111" spans="3:132">
      <c r="D111" s="124"/>
      <c r="E111" s="124"/>
      <c r="F111" s="124"/>
      <c r="G111" s="124"/>
      <c r="H111" s="124"/>
    </row>
    <row r="112" spans="3:132">
      <c r="D112" s="124"/>
      <c r="E112" s="124"/>
      <c r="F112" s="124"/>
      <c r="G112" s="124"/>
      <c r="H112" s="124"/>
    </row>
    <row r="113" spans="1:132" ht="14.1">
      <c r="C113" s="125" t="s">
        <v>191</v>
      </c>
      <c r="D113" s="125"/>
      <c r="E113" s="124"/>
      <c r="F113" s="124"/>
      <c r="G113" s="124"/>
      <c r="H113" s="124"/>
    </row>
    <row r="114" spans="1:132">
      <c r="D114" s="151" t="s">
        <v>192</v>
      </c>
      <c r="E114" s="124" t="s">
        <v>193</v>
      </c>
      <c r="F114" s="124"/>
      <c r="G114" s="124"/>
      <c r="H114" s="124"/>
    </row>
    <row r="116" spans="1:132">
      <c r="D116" s="127" t="s">
        <v>194</v>
      </c>
    </row>
    <row r="117" spans="1:132">
      <c r="C117" s="98" t="s">
        <v>195</v>
      </c>
      <c r="D117" s="149">
        <f>COUNTIF(F13:F99,D114)</f>
        <v>25</v>
      </c>
      <c r="E117" s="124" t="s">
        <v>196</v>
      </c>
      <c r="G117" s="124"/>
      <c r="EB117" s="98">
        <v>25</v>
      </c>
    </row>
    <row r="118" spans="1:132">
      <c r="C118" s="98" t="s">
        <v>197</v>
      </c>
      <c r="D118" s="149">
        <f>SUMIF(F13:F99,D114)</f>
        <v>349074.24224993086</v>
      </c>
      <c r="E118" s="124" t="s">
        <v>198</v>
      </c>
      <c r="G118" s="124"/>
      <c r="EB118" s="98">
        <v>349074.24224993086</v>
      </c>
    </row>
    <row r="119" spans="1:132">
      <c r="C119" s="98" t="s">
        <v>199</v>
      </c>
      <c r="D119" s="149">
        <f>AVERAGEIF(F13:F99,D114)</f>
        <v>13962.969689997235</v>
      </c>
      <c r="E119" s="124" t="s">
        <v>200</v>
      </c>
      <c r="G119" s="124"/>
      <c r="EB119" s="98">
        <v>13962.969689997235</v>
      </c>
    </row>
    <row r="120" spans="1:132">
      <c r="D120" s="124"/>
      <c r="E120" s="124"/>
      <c r="G120" s="124"/>
    </row>
    <row r="121" spans="1:132">
      <c r="C121" s="98" t="s">
        <v>201</v>
      </c>
      <c r="D121" s="149">
        <f>COUNTIFS(F13:F99,D114,D13:D99,"NORTH")</f>
        <v>10</v>
      </c>
      <c r="E121" s="124" t="s">
        <v>202</v>
      </c>
      <c r="G121" s="124"/>
      <c r="EB121" s="98">
        <v>10</v>
      </c>
    </row>
    <row r="122" spans="1:132">
      <c r="C122" s="98" t="s">
        <v>203</v>
      </c>
      <c r="D122" s="149">
        <f>SUMIFS($F$13:$F$99,$D$13:$D$99,"NORTH",F13:F99,D114)</f>
        <v>127363.3460585171</v>
      </c>
      <c r="E122" s="124" t="s">
        <v>204</v>
      </c>
      <c r="G122" s="124"/>
      <c r="EB122" s="98">
        <v>127363.3460585171</v>
      </c>
    </row>
    <row r="123" spans="1:132">
      <c r="C123" s="98" t="s">
        <v>205</v>
      </c>
      <c r="D123" s="149">
        <f>AVERAGEIFS($F$13:$F$99,$D$13:$D$99,"North",$F$13:$F$99,D114)</f>
        <v>12736.334605851709</v>
      </c>
      <c r="E123" s="124" t="s">
        <v>206</v>
      </c>
      <c r="G123" s="124"/>
      <c r="EB123" s="98">
        <v>12736.334605851709</v>
      </c>
    </row>
    <row r="125" spans="1:132" s="6" customFormat="1" ht="14.1">
      <c r="A125"/>
      <c r="B125" s="5" t="s">
        <v>207</v>
      </c>
      <c r="C125" s="6" t="s">
        <v>208</v>
      </c>
      <c r="D125" s="75"/>
      <c r="E125" s="75"/>
      <c r="F125" s="75"/>
      <c r="G125" s="75"/>
      <c r="H125" s="75"/>
    </row>
    <row r="127" spans="1:132" ht="14.1">
      <c r="C127" s="111" t="s">
        <v>209</v>
      </c>
    </row>
    <row r="129" spans="4:12" ht="81">
      <c r="D129" s="124"/>
      <c r="E129" s="128" t="s">
        <v>210</v>
      </c>
      <c r="F129" s="129" t="s">
        <v>211</v>
      </c>
      <c r="G129" s="129" t="s">
        <v>212</v>
      </c>
      <c r="H129" s="129" t="s">
        <v>213</v>
      </c>
      <c r="I129" s="130" t="s">
        <v>214</v>
      </c>
      <c r="J129" s="130" t="s">
        <v>215</v>
      </c>
      <c r="K129" s="130" t="s">
        <v>216</v>
      </c>
      <c r="L129" s="131" t="s">
        <v>217</v>
      </c>
    </row>
    <row r="130" spans="4:12">
      <c r="D130" s="124"/>
      <c r="E130" s="132" t="s">
        <v>218</v>
      </c>
      <c r="F130" s="133">
        <v>0</v>
      </c>
      <c r="G130" s="133">
        <v>0</v>
      </c>
      <c r="H130" s="133">
        <v>0</v>
      </c>
      <c r="I130" s="133">
        <v>0</v>
      </c>
      <c r="J130" s="133">
        <v>0</v>
      </c>
      <c r="K130" s="133">
        <v>0</v>
      </c>
      <c r="L130" s="134">
        <v>0</v>
      </c>
    </row>
    <row r="131" spans="4:12">
      <c r="D131" s="124"/>
      <c r="E131" s="132" t="s">
        <v>219</v>
      </c>
      <c r="F131" s="133">
        <v>3209930</v>
      </c>
      <c r="G131" s="133">
        <v>6419860</v>
      </c>
      <c r="H131" s="133">
        <v>802482.5</v>
      </c>
      <c r="I131" s="133">
        <v>1549791.2858531289</v>
      </c>
      <c r="J131" s="133">
        <v>11895668.942242114</v>
      </c>
      <c r="K131" s="133">
        <v>0</v>
      </c>
      <c r="L131" s="134">
        <v>0</v>
      </c>
    </row>
    <row r="132" spans="4:12">
      <c r="D132" s="124"/>
      <c r="E132" s="132" t="s">
        <v>220</v>
      </c>
      <c r="F132" s="133">
        <v>0</v>
      </c>
      <c r="G132" s="133">
        <v>55708.325940902832</v>
      </c>
      <c r="H132" s="133">
        <v>7177.6654940215649</v>
      </c>
      <c r="I132" s="133">
        <v>2611.0414185579994</v>
      </c>
      <c r="J132" s="133">
        <v>3136.294215979085</v>
      </c>
      <c r="K132" s="133">
        <v>0</v>
      </c>
      <c r="L132" s="134">
        <v>0</v>
      </c>
    </row>
    <row r="133" spans="4:12">
      <c r="D133" s="124"/>
      <c r="E133" s="132" t="s">
        <v>221</v>
      </c>
      <c r="F133" s="133">
        <v>0</v>
      </c>
      <c r="G133" s="133">
        <v>0</v>
      </c>
      <c r="H133" s="133">
        <v>0</v>
      </c>
      <c r="I133" s="133">
        <v>0</v>
      </c>
      <c r="J133" s="133">
        <v>0</v>
      </c>
      <c r="K133" s="133">
        <v>0</v>
      </c>
      <c r="L133" s="134">
        <v>0</v>
      </c>
    </row>
    <row r="134" spans="4:12">
      <c r="D134" s="124"/>
      <c r="E134" s="132" t="s">
        <v>222</v>
      </c>
      <c r="F134" s="133">
        <v>0</v>
      </c>
      <c r="G134" s="133">
        <v>0</v>
      </c>
      <c r="H134" s="133">
        <v>0</v>
      </c>
      <c r="I134" s="133">
        <v>0</v>
      </c>
      <c r="J134" s="133">
        <v>0</v>
      </c>
      <c r="K134" s="133">
        <v>0</v>
      </c>
      <c r="L134" s="134">
        <v>0</v>
      </c>
    </row>
    <row r="135" spans="4:12">
      <c r="D135" s="124"/>
      <c r="E135" s="132" t="s">
        <v>223</v>
      </c>
      <c r="F135" s="133">
        <v>0</v>
      </c>
      <c r="G135" s="133">
        <v>0</v>
      </c>
      <c r="H135" s="133">
        <v>0</v>
      </c>
      <c r="I135" s="133">
        <v>0</v>
      </c>
      <c r="J135" s="133">
        <v>0</v>
      </c>
      <c r="K135" s="133">
        <v>0</v>
      </c>
      <c r="L135" s="134">
        <v>0</v>
      </c>
    </row>
    <row r="136" spans="4:12">
      <c r="D136" s="124"/>
      <c r="E136" s="132" t="s">
        <v>224</v>
      </c>
      <c r="F136" s="133">
        <v>0</v>
      </c>
      <c r="G136" s="133">
        <v>0</v>
      </c>
      <c r="H136" s="133">
        <v>0</v>
      </c>
      <c r="I136" s="133">
        <v>0</v>
      </c>
      <c r="J136" s="133">
        <v>0</v>
      </c>
      <c r="K136" s="133">
        <v>0</v>
      </c>
      <c r="L136" s="134">
        <v>0</v>
      </c>
    </row>
    <row r="137" spans="4:12">
      <c r="D137" s="124"/>
      <c r="E137" s="132" t="s">
        <v>225</v>
      </c>
      <c r="F137" s="133">
        <v>4595156.044728593</v>
      </c>
      <c r="G137" s="133">
        <v>7846589.7203857433</v>
      </c>
      <c r="H137" s="133">
        <v>809314.15898720606</v>
      </c>
      <c r="I137" s="133">
        <v>1549791.2858531289</v>
      </c>
      <c r="J137" s="133">
        <v>11895668.942242114</v>
      </c>
      <c r="K137" s="133">
        <v>0</v>
      </c>
      <c r="L137" s="134">
        <v>0</v>
      </c>
    </row>
    <row r="138" spans="4:12">
      <c r="D138" s="124"/>
      <c r="E138" s="132" t="s">
        <v>226</v>
      </c>
      <c r="F138" s="133">
        <v>121935.59277140624</v>
      </c>
      <c r="G138" s="133">
        <v>153663.95367335656</v>
      </c>
      <c r="H138" s="133">
        <v>13252.488018772281</v>
      </c>
      <c r="I138" s="133">
        <v>57695.347728313318</v>
      </c>
      <c r="J138" s="133">
        <v>481171.85003371211</v>
      </c>
      <c r="K138" s="133">
        <v>0</v>
      </c>
      <c r="L138" s="134">
        <v>0</v>
      </c>
    </row>
    <row r="139" spans="4:12">
      <c r="D139" s="124"/>
      <c r="E139" s="132" t="s">
        <v>227</v>
      </c>
      <c r="F139" s="133">
        <v>0</v>
      </c>
      <c r="G139" s="133">
        <v>0</v>
      </c>
      <c r="H139" s="133">
        <v>0</v>
      </c>
      <c r="I139" s="133">
        <v>0</v>
      </c>
      <c r="J139" s="133">
        <v>0</v>
      </c>
      <c r="K139" s="133">
        <v>0</v>
      </c>
      <c r="L139" s="134">
        <v>0</v>
      </c>
    </row>
    <row r="140" spans="4:12">
      <c r="D140" s="124"/>
      <c r="E140" s="132" t="s">
        <v>228</v>
      </c>
      <c r="F140" s="133">
        <v>0</v>
      </c>
      <c r="G140" s="133">
        <v>0</v>
      </c>
      <c r="H140" s="133">
        <v>0</v>
      </c>
      <c r="I140" s="133">
        <v>0</v>
      </c>
      <c r="J140" s="133">
        <v>0</v>
      </c>
      <c r="K140" s="133">
        <v>0</v>
      </c>
      <c r="L140" s="134">
        <v>0</v>
      </c>
    </row>
    <row r="141" spans="4:12">
      <c r="D141" s="124"/>
      <c r="E141" s="132" t="s">
        <v>229</v>
      </c>
      <c r="F141" s="133">
        <v>0</v>
      </c>
      <c r="G141" s="133">
        <v>0</v>
      </c>
      <c r="H141" s="133">
        <v>0</v>
      </c>
      <c r="I141" s="133">
        <v>0</v>
      </c>
      <c r="J141" s="133">
        <v>0</v>
      </c>
      <c r="K141" s="133">
        <v>0</v>
      </c>
      <c r="L141" s="134">
        <v>0</v>
      </c>
    </row>
    <row r="142" spans="4:12">
      <c r="D142" s="124"/>
      <c r="E142" s="132" t="s">
        <v>230</v>
      </c>
      <c r="F142" s="133">
        <v>0</v>
      </c>
      <c r="G142" s="133">
        <v>0</v>
      </c>
      <c r="H142" s="133">
        <v>0</v>
      </c>
      <c r="I142" s="133">
        <v>0</v>
      </c>
      <c r="J142" s="133">
        <v>0</v>
      </c>
      <c r="K142" s="133">
        <v>0</v>
      </c>
      <c r="L142" s="134">
        <v>1500654.2432666258</v>
      </c>
    </row>
    <row r="143" spans="4:12">
      <c r="D143" s="124"/>
      <c r="E143" s="135" t="s">
        <v>231</v>
      </c>
      <c r="F143" s="136">
        <v>0</v>
      </c>
      <c r="G143" s="136">
        <v>0</v>
      </c>
      <c r="H143" s="136">
        <v>0</v>
      </c>
      <c r="I143" s="136">
        <v>0</v>
      </c>
      <c r="J143" s="136">
        <v>0</v>
      </c>
      <c r="K143" s="136">
        <v>0</v>
      </c>
      <c r="L143" s="137">
        <v>0</v>
      </c>
    </row>
    <row r="144" spans="4:12">
      <c r="D144" s="124"/>
      <c r="E144" s="124"/>
      <c r="F144" s="124"/>
      <c r="G144" s="124"/>
      <c r="H144" s="124"/>
      <c r="I144" s="124"/>
      <c r="J144" s="124"/>
      <c r="K144" s="124"/>
      <c r="L144" s="124"/>
    </row>
    <row r="145" spans="4:13">
      <c r="D145" s="124"/>
      <c r="E145" s="124"/>
      <c r="F145" s="124"/>
      <c r="G145" s="124"/>
      <c r="H145" s="124"/>
      <c r="I145" s="124"/>
      <c r="J145" s="124"/>
      <c r="K145" s="124"/>
      <c r="L145" s="124"/>
    </row>
    <row r="146" spans="4:13">
      <c r="D146" s="124"/>
      <c r="E146" s="124"/>
      <c r="F146" s="124"/>
      <c r="G146" s="124"/>
      <c r="H146" s="124"/>
      <c r="I146" s="124"/>
      <c r="J146" s="124"/>
      <c r="K146" s="124"/>
      <c r="L146" s="124"/>
    </row>
    <row r="147" spans="4:13">
      <c r="D147" s="124"/>
      <c r="E147" s="124"/>
      <c r="F147" s="124"/>
      <c r="G147" s="124"/>
      <c r="H147" s="124"/>
      <c r="I147" s="124"/>
      <c r="J147" s="124"/>
      <c r="K147" s="124"/>
      <c r="L147" s="124"/>
    </row>
    <row r="148" spans="4:13" ht="14.1">
      <c r="D148" s="125" t="s">
        <v>232</v>
      </c>
      <c r="E148" s="124"/>
      <c r="F148" s="124"/>
      <c r="G148" s="124"/>
      <c r="H148" s="124"/>
      <c r="I148" s="124"/>
      <c r="J148" s="124"/>
      <c r="K148" s="124"/>
      <c r="L148" s="124"/>
    </row>
    <row r="149" spans="4:13" ht="14.1">
      <c r="D149" s="124"/>
      <c r="E149" s="124"/>
      <c r="F149" s="124"/>
      <c r="G149" s="124"/>
      <c r="H149" s="124"/>
      <c r="I149" s="125"/>
      <c r="J149" s="124"/>
      <c r="K149" s="124"/>
      <c r="L149" s="124"/>
    </row>
    <row r="150" spans="4:13" ht="27">
      <c r="F150" s="138" t="s">
        <v>225</v>
      </c>
      <c r="G150" s="138" t="s">
        <v>212</v>
      </c>
      <c r="H150" s="152">
        <f>INDEX($F$130:$L$143,MATCH(F150,$E$130:$E$143,0),MATCH($G150,$F$129:$L$129,0))</f>
        <v>7846589.7203857433</v>
      </c>
      <c r="I150" s="139" t="s">
        <v>233</v>
      </c>
      <c r="J150" s="124"/>
      <c r="K150" s="124"/>
      <c r="L150" s="124"/>
    </row>
    <row r="151" spans="4:13" ht="27">
      <c r="F151" s="138" t="s">
        <v>226</v>
      </c>
      <c r="G151" s="138" t="s">
        <v>234</v>
      </c>
      <c r="H151" s="152">
        <f>INDEX($F$130:$L$143,MATCH(F151,$E$130:$E$143,0),MATCH($G151,$F$129:$L$129,0))</f>
        <v>153663.95367335656</v>
      </c>
      <c r="I151" s="139" t="s">
        <v>233</v>
      </c>
      <c r="J151" s="124"/>
      <c r="K151" s="124"/>
      <c r="L151" s="124"/>
    </row>
    <row r="152" spans="4:13" ht="40.5">
      <c r="D152" s="124"/>
      <c r="E152" s="124"/>
      <c r="F152" s="138" t="s">
        <v>225</v>
      </c>
      <c r="G152" s="138" t="s">
        <v>213</v>
      </c>
      <c r="H152" s="152">
        <f t="shared" ref="H152:H153" si="0">INDEX($F$130:$L$143,MATCH(F152,$E$130:$E$143,0),MATCH($G152,$F$129:$L$129,0))</f>
        <v>809314.15898720606</v>
      </c>
      <c r="I152" s="139" t="s">
        <v>233</v>
      </c>
      <c r="J152" s="124"/>
      <c r="K152" s="124"/>
      <c r="L152" s="124"/>
      <c r="M152" s="124"/>
    </row>
    <row r="153" spans="4:13" ht="40.5">
      <c r="D153" s="124"/>
      <c r="E153" s="124"/>
      <c r="F153" s="138" t="s">
        <v>226</v>
      </c>
      <c r="G153" s="138" t="s">
        <v>213</v>
      </c>
      <c r="H153" s="152">
        <f t="shared" si="0"/>
        <v>13252.488018772281</v>
      </c>
      <c r="I153" s="139" t="s">
        <v>233</v>
      </c>
      <c r="J153" s="124"/>
      <c r="K153" s="124"/>
      <c r="L153" s="124"/>
      <c r="M153" s="124"/>
    </row>
    <row r="154" spans="4:13">
      <c r="D154" s="124"/>
      <c r="E154" s="124"/>
      <c r="F154" s="124"/>
      <c r="G154" s="124"/>
      <c r="H154" s="124"/>
      <c r="J154" s="124"/>
      <c r="K154" s="124"/>
      <c r="L154" s="124"/>
      <c r="M154" s="124"/>
    </row>
    <row r="155" spans="4:13" ht="14.1">
      <c r="D155" s="125" t="s">
        <v>235</v>
      </c>
      <c r="E155" s="124"/>
      <c r="F155" s="124"/>
      <c r="G155" s="124"/>
      <c r="H155" s="124"/>
      <c r="I155" s="124"/>
      <c r="J155" s="124"/>
      <c r="K155" s="124"/>
      <c r="L155" s="124"/>
    </row>
    <row r="156" spans="4:13">
      <c r="D156" s="124"/>
      <c r="E156" s="124"/>
      <c r="F156" s="124"/>
      <c r="G156" s="124"/>
      <c r="H156" s="124"/>
      <c r="I156" s="124"/>
      <c r="J156" s="124"/>
      <c r="K156" s="124"/>
      <c r="L156" s="124"/>
    </row>
    <row r="157" spans="4:13" ht="14.1">
      <c r="D157" s="124"/>
      <c r="E157" s="140" t="s">
        <v>236</v>
      </c>
      <c r="F157" s="140" t="s">
        <v>237</v>
      </c>
      <c r="G157" s="124"/>
      <c r="H157" s="141" t="s">
        <v>238</v>
      </c>
      <c r="I157" s="124"/>
      <c r="J157" s="124"/>
      <c r="K157" s="124"/>
      <c r="L157" s="124"/>
    </row>
    <row r="158" spans="4:13">
      <c r="D158" s="124"/>
      <c r="E158" s="124"/>
      <c r="F158" s="124"/>
      <c r="G158" s="124"/>
      <c r="H158" s="124"/>
      <c r="I158" s="124"/>
      <c r="J158" s="124"/>
      <c r="K158" s="124"/>
      <c r="L158" s="124"/>
    </row>
    <row r="159" spans="4:13">
      <c r="D159" s="124"/>
      <c r="E159" s="148" t="str" cm="1">
        <f t="array" ref="E159:E165">TRANSPOSE(F129:L129)</f>
        <v>Staff- Medical</v>
      </c>
      <c r="F159" s="129" t="s">
        <v>211</v>
      </c>
      <c r="G159" s="124"/>
      <c r="H159" s="142" t="s">
        <v>239</v>
      </c>
      <c r="I159" s="124"/>
      <c r="J159" s="124"/>
      <c r="K159" s="124"/>
      <c r="L159" s="124"/>
    </row>
    <row r="160" spans="4:13">
      <c r="D160" s="124"/>
      <c r="E160" s="148" t="str">
        <v>Staff- Nursing</v>
      </c>
      <c r="F160" s="129" t="s">
        <v>212</v>
      </c>
      <c r="G160" s="124"/>
      <c r="H160" s="142" t="s">
        <v>239</v>
      </c>
      <c r="I160" s="124"/>
      <c r="J160" s="124"/>
      <c r="K160" s="124"/>
      <c r="L160" s="124"/>
    </row>
    <row r="161" spans="1:13">
      <c r="D161" s="124"/>
      <c r="E161" s="148" t="str">
        <v>Staff - other clinical</v>
      </c>
      <c r="F161" s="129" t="s">
        <v>213</v>
      </c>
      <c r="G161" s="124"/>
      <c r="H161" s="142" t="s">
        <v>239</v>
      </c>
      <c r="I161" s="124"/>
      <c r="J161" s="124"/>
      <c r="K161" s="124"/>
      <c r="L161" s="124"/>
    </row>
    <row r="162" spans="1:13">
      <c r="D162" s="124"/>
      <c r="E162" s="148" t="str">
        <v>Staff- Non-clinical</v>
      </c>
      <c r="F162" s="130" t="s">
        <v>214</v>
      </c>
      <c r="G162" s="124"/>
      <c r="H162" s="142" t="s">
        <v>239</v>
      </c>
      <c r="I162" s="124"/>
      <c r="J162" s="124"/>
      <c r="K162" s="124"/>
      <c r="L162" s="124"/>
    </row>
    <row r="163" spans="1:13" ht="27">
      <c r="D163" s="124"/>
      <c r="E163" s="148" t="str">
        <v>Clinical service and supplies including drugs</v>
      </c>
      <c r="F163" s="130" t="s">
        <v>215</v>
      </c>
      <c r="G163" s="124"/>
      <c r="H163" s="142" t="s">
        <v>239</v>
      </c>
      <c r="I163" s="124"/>
      <c r="J163" s="124"/>
      <c r="K163" s="124"/>
      <c r="L163" s="124"/>
    </row>
    <row r="164" spans="1:13">
      <c r="D164" s="124"/>
      <c r="E164" s="148" t="str">
        <v>Non-clinical services</v>
      </c>
      <c r="F164" s="130" t="s">
        <v>216</v>
      </c>
      <c r="G164" s="124"/>
      <c r="H164" s="142" t="s">
        <v>239</v>
      </c>
      <c r="I164" s="124"/>
      <c r="J164" s="124"/>
      <c r="K164" s="124"/>
      <c r="L164" s="124"/>
    </row>
    <row r="165" spans="1:13">
      <c r="D165" s="124"/>
      <c r="E165" s="148" t="str">
        <v>Corporate services</v>
      </c>
      <c r="F165" s="131" t="s">
        <v>217</v>
      </c>
      <c r="G165" s="124"/>
      <c r="H165" s="142" t="s">
        <v>239</v>
      </c>
      <c r="I165" s="124"/>
      <c r="J165" s="124"/>
      <c r="K165" s="124"/>
      <c r="L165" s="124"/>
    </row>
    <row r="166" spans="1:13">
      <c r="D166" s="124"/>
      <c r="E166" s="124"/>
      <c r="F166" s="124"/>
      <c r="G166" s="124"/>
      <c r="H166" s="124"/>
      <c r="I166" s="124"/>
      <c r="J166" s="124"/>
      <c r="K166" s="124"/>
      <c r="L166" s="124"/>
    </row>
    <row r="167" spans="1:13">
      <c r="D167" s="124"/>
      <c r="E167" s="124"/>
      <c r="F167" s="124"/>
      <c r="G167" s="124"/>
      <c r="H167" s="124"/>
      <c r="I167" s="124"/>
      <c r="J167" s="124"/>
      <c r="K167" s="124"/>
      <c r="L167" s="124"/>
    </row>
    <row r="168" spans="1:13" ht="14.1">
      <c r="D168" s="125" t="s">
        <v>240</v>
      </c>
      <c r="E168" s="124"/>
      <c r="F168" s="124"/>
      <c r="G168" s="124"/>
      <c r="H168" s="124"/>
      <c r="I168" s="124"/>
      <c r="J168" s="124"/>
      <c r="K168" s="124"/>
      <c r="L168" s="124"/>
    </row>
    <row r="169" spans="1:13">
      <c r="D169" s="124"/>
      <c r="E169" s="124"/>
      <c r="F169" s="124"/>
      <c r="G169" s="124"/>
      <c r="H169" s="124"/>
      <c r="I169" s="124"/>
      <c r="J169" s="124"/>
      <c r="K169" s="124"/>
      <c r="L169" s="124"/>
    </row>
    <row r="170" spans="1:13" ht="81">
      <c r="D170" s="124"/>
      <c r="E170" s="143" t="s">
        <v>210</v>
      </c>
      <c r="F170" s="144" t="s">
        <v>211</v>
      </c>
      <c r="G170" s="144" t="s">
        <v>212</v>
      </c>
      <c r="H170" s="144" t="s">
        <v>213</v>
      </c>
      <c r="I170" s="145" t="s">
        <v>214</v>
      </c>
      <c r="J170" s="145" t="s">
        <v>215</v>
      </c>
      <c r="K170" s="145" t="s">
        <v>216</v>
      </c>
      <c r="L170" s="145" t="s">
        <v>217</v>
      </c>
    </row>
    <row r="171" spans="1:13">
      <c r="D171" s="124"/>
      <c r="E171" s="146" t="s">
        <v>219</v>
      </c>
      <c r="F171" s="153">
        <f>RANK(F131,$F$131:$L$131,0)</f>
        <v>3</v>
      </c>
      <c r="G171" s="153">
        <f t="shared" ref="G171:L171" si="1">RANK(G131,$F$131:$L$131,0)</f>
        <v>2</v>
      </c>
      <c r="H171" s="153">
        <f t="shared" si="1"/>
        <v>5</v>
      </c>
      <c r="I171" s="153">
        <f t="shared" si="1"/>
        <v>4</v>
      </c>
      <c r="J171" s="153">
        <f t="shared" si="1"/>
        <v>1</v>
      </c>
      <c r="K171" s="153">
        <f t="shared" si="1"/>
        <v>6</v>
      </c>
      <c r="L171" s="153">
        <f t="shared" si="1"/>
        <v>6</v>
      </c>
      <c r="M171"/>
    </row>
    <row r="173" spans="1:13">
      <c r="F173" s="147">
        <v>3</v>
      </c>
      <c r="G173" s="147">
        <v>2</v>
      </c>
      <c r="H173" s="147">
        <v>5</v>
      </c>
      <c r="I173" s="147">
        <v>4</v>
      </c>
      <c r="J173" s="147">
        <v>1</v>
      </c>
      <c r="K173" s="147">
        <v>6</v>
      </c>
      <c r="L173" s="147">
        <v>6</v>
      </c>
    </row>
    <row r="174" spans="1:13" s="6" customFormat="1" ht="14.1">
      <c r="A174" s="5" t="s">
        <v>43</v>
      </c>
      <c r="C174" s="6" t="s">
        <v>44</v>
      </c>
      <c r="D174" s="75"/>
      <c r="E174" s="75"/>
      <c r="F174" s="75"/>
      <c r="G174" s="75"/>
      <c r="H174" s="75"/>
    </row>
  </sheetData>
  <conditionalFormatting sqref="F171:L171">
    <cfRule type="cellIs" dxfId="12" priority="11" operator="equal">
      <formula>F$173</formula>
    </cfRule>
  </conditionalFormatting>
  <conditionalFormatting sqref="H159:H165">
    <cfRule type="expression" dxfId="11" priority="10">
      <formula>AND($E159=$F159,NOT(ISBLANK($E159)),NOT(ISBLANK($F159)))</formula>
    </cfRule>
  </conditionalFormatting>
  <conditionalFormatting sqref="I150">
    <cfRule type="expression" dxfId="10" priority="15">
      <formula>$H$150=$G$137</formula>
    </cfRule>
  </conditionalFormatting>
  <conditionalFormatting sqref="I151">
    <cfRule type="expression" dxfId="9" priority="13">
      <formula>$H$151=$G$138</formula>
    </cfRule>
  </conditionalFormatting>
  <conditionalFormatting sqref="I152">
    <cfRule type="expression" dxfId="8" priority="14">
      <formula>$H$152=$H$137</formula>
    </cfRule>
  </conditionalFormatting>
  <conditionalFormatting sqref="I153">
    <cfRule type="expression" dxfId="7" priority="12">
      <formula>$H$153=$H$138</formula>
    </cfRule>
  </conditionalFormatting>
  <conditionalFormatting sqref="D117:D119 D121:D123">
    <cfRule type="cellIs" dxfId="6" priority="8" operator="equal">
      <formula>EB117</formula>
    </cfRule>
  </conditionalFormatting>
  <conditionalFormatting sqref="EB104">
    <cfRule type="expression" dxfId="5" priority="7">
      <formula>$D$104=_xlfn.STDEV.P($F$13:$F$99)</formula>
    </cfRule>
  </conditionalFormatting>
  <conditionalFormatting sqref="EB106">
    <cfRule type="expression" dxfId="4" priority="6">
      <formula>$D$106=AVERAGE($F$13:$F$99)</formula>
    </cfRule>
  </conditionalFormatting>
  <conditionalFormatting sqref="EB108">
    <cfRule type="expression" dxfId="3" priority="5">
      <formula>$D$108=_xlfn.QUARTILE.INC($F$13:$F$99,1)</formula>
    </cfRule>
  </conditionalFormatting>
  <conditionalFormatting sqref="EB109">
    <cfRule type="expression" dxfId="2" priority="4">
      <formula>$D$109=_xlfn.QUARTILE.INC($F$13:$F$99,2)</formula>
    </cfRule>
  </conditionalFormatting>
  <conditionalFormatting sqref="EB110">
    <cfRule type="expression" dxfId="1" priority="3">
      <formula>$D$110=_xlfn.QUARTILE.INC($F$13:$F$99,3)</formula>
    </cfRule>
  </conditionalFormatting>
  <conditionalFormatting sqref="D104 D106 D108:D110">
    <cfRule type="cellIs" dxfId="0" priority="1" operator="equal">
      <formula>EB104</formula>
    </cfRule>
  </conditionalFormatting>
  <hyperlinks>
    <hyperlink ref="A1" location="Index!A1" display="ToC" xr:uid="{C2B03F78-E84E-4723-B911-42A6281408AF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739D7-4855-4A21-9994-ED42B57ED8F2}">
  <sheetPr>
    <tabColor theme="5"/>
  </sheetPr>
  <dimension ref="A1:M38"/>
  <sheetViews>
    <sheetView showGridLines="0" topLeftCell="A14" zoomScale="104" zoomScaleNormal="100" workbookViewId="0">
      <selection activeCell="E45" sqref="E45"/>
    </sheetView>
  </sheetViews>
  <sheetFormatPr defaultColWidth="9" defaultRowHeight="13.5"/>
  <cols>
    <col min="1" max="2" width="3.625" style="1" customWidth="1"/>
    <col min="3" max="3" width="74" style="1" bestFit="1" customWidth="1"/>
    <col min="4" max="4" width="13.75" style="1" customWidth="1"/>
    <col min="5" max="9" width="20.5" style="1" customWidth="1"/>
    <col min="10" max="11" width="9" style="1"/>
    <col min="12" max="13" width="9" style="1" customWidth="1"/>
    <col min="14" max="16384" width="9" style="1"/>
  </cols>
  <sheetData>
    <row r="1" spans="1:13" s="7" customFormat="1" ht="19.5">
      <c r="A1" s="8" t="s">
        <v>45</v>
      </c>
      <c r="B1" s="1"/>
      <c r="C1" s="18" t="e">
        <f ca="1">MID(CELL("filename",A1),FIND("]",CELL("filename",A1))+1,LEN(CELL("filename",A1))-FIND("]",CELL("filename",A1)))</f>
        <v>#VALUE!</v>
      </c>
      <c r="D1" s="10"/>
      <c r="E1" s="11"/>
      <c r="F1" s="12" t="s">
        <v>0</v>
      </c>
      <c r="G1" s="13" t="e">
        <f ca="1">MID(CELL("filename",G1),FIND(" v",CELL("filename",G1))+1,FIND(".xls",CELL("filename",G1))-FIND(" v",CELL("filename",G1))-1)</f>
        <v>#VALUE!</v>
      </c>
      <c r="H1" s="14">
        <f ca="1">TODAY()</f>
        <v>46010</v>
      </c>
      <c r="I1" s="15">
        <f ca="1">NOW()</f>
        <v>46010.527948148148</v>
      </c>
    </row>
    <row r="2" spans="1:13" s="3" customFormat="1" ht="14.1">
      <c r="A2" s="4"/>
      <c r="C2" s="19" t="s">
        <v>46</v>
      </c>
      <c r="D2" s="16"/>
      <c r="E2" s="16"/>
      <c r="F2" s="16"/>
      <c r="G2" s="16"/>
      <c r="H2" s="16"/>
      <c r="I2" s="17"/>
      <c r="K2" s="20"/>
    </row>
    <row r="4" spans="1:13" s="6" customFormat="1">
      <c r="A4" s="5">
        <v>1</v>
      </c>
      <c r="B4" s="6" t="s">
        <v>2</v>
      </c>
    </row>
    <row r="5" spans="1:13">
      <c r="A5" s="2"/>
      <c r="B5" s="2"/>
    </row>
    <row r="6" spans="1:13" ht="15">
      <c r="B6" s="43" t="s">
        <v>3</v>
      </c>
      <c r="L6" s="9"/>
      <c r="M6" s="9"/>
    </row>
    <row r="7" spans="1:13">
      <c r="L7" s="9"/>
      <c r="M7" s="9"/>
    </row>
    <row r="8" spans="1:13" customFormat="1" ht="18.600000000000001" customHeight="1">
      <c r="B8" s="28" t="s">
        <v>4</v>
      </c>
      <c r="C8" s="29" t="s">
        <v>5</v>
      </c>
      <c r="D8" s="30" t="s">
        <v>6</v>
      </c>
      <c r="E8" s="21"/>
    </row>
    <row r="9" spans="1:13" customFormat="1" ht="18.600000000000001" customHeight="1">
      <c r="B9" s="31">
        <v>1</v>
      </c>
      <c r="C9" s="32" t="s">
        <v>47</v>
      </c>
      <c r="D9" s="51" t="s">
        <v>6</v>
      </c>
      <c r="E9" s="21"/>
    </row>
    <row r="10" spans="1:13" customFormat="1" ht="24" customHeight="1">
      <c r="B10" s="33">
        <v>2</v>
      </c>
      <c r="C10" s="36" t="s">
        <v>8</v>
      </c>
      <c r="D10" s="34" t="s">
        <v>9</v>
      </c>
      <c r="E10" s="21"/>
    </row>
    <row r="11" spans="1:13" customFormat="1" ht="24" customHeight="1">
      <c r="B11" s="33">
        <v>3</v>
      </c>
      <c r="C11" s="34" t="s">
        <v>48</v>
      </c>
      <c r="D11" s="45"/>
      <c r="E11" s="21"/>
    </row>
    <row r="12" spans="1:13" customFormat="1" ht="24" customHeight="1">
      <c r="B12" s="33">
        <v>3</v>
      </c>
      <c r="C12" s="36" t="s">
        <v>49</v>
      </c>
      <c r="D12" s="44">
        <v>100000</v>
      </c>
      <c r="E12" s="21"/>
    </row>
    <row r="13" spans="1:13" customFormat="1" ht="24.95" customHeight="1">
      <c r="B13" s="33">
        <v>4</v>
      </c>
      <c r="C13" s="34" t="s">
        <v>50</v>
      </c>
      <c r="D13" s="35">
        <v>0.64400000000000002</v>
      </c>
      <c r="E13" s="21"/>
    </row>
    <row r="14" spans="1:13" customFormat="1" ht="24" customHeight="1">
      <c r="B14" s="33">
        <v>6</v>
      </c>
      <c r="C14" s="36" t="s">
        <v>51</v>
      </c>
      <c r="D14" s="46"/>
      <c r="E14" s="21"/>
    </row>
    <row r="15" spans="1:13" customFormat="1" ht="24" customHeight="1">
      <c r="B15" s="33">
        <v>7</v>
      </c>
      <c r="C15" s="36" t="s">
        <v>52</v>
      </c>
      <c r="D15" s="37"/>
      <c r="E15" s="21"/>
    </row>
    <row r="16" spans="1:13" customFormat="1" ht="17.100000000000001" customHeight="1">
      <c r="B16" s="40"/>
      <c r="C16" s="41" t="s">
        <v>53</v>
      </c>
      <c r="D16" s="42" t="s">
        <v>16</v>
      </c>
      <c r="E16" s="21"/>
    </row>
    <row r="17" spans="1:9" customFormat="1" ht="17.100000000000001" customHeight="1">
      <c r="B17" s="24"/>
      <c r="C17" s="22" t="s">
        <v>17</v>
      </c>
      <c r="D17" s="25" t="s">
        <v>18</v>
      </c>
      <c r="E17" s="21"/>
    </row>
    <row r="18" spans="1:9" customFormat="1" ht="17.100000000000001" customHeight="1">
      <c r="B18" s="26"/>
      <c r="C18" s="27" t="s">
        <v>19</v>
      </c>
      <c r="D18" s="85" t="s">
        <v>20</v>
      </c>
      <c r="E18" s="21"/>
    </row>
    <row r="19" spans="1:9">
      <c r="C19" s="23"/>
    </row>
    <row r="20" spans="1:9" s="6" customFormat="1">
      <c r="A20" s="5">
        <v>2</v>
      </c>
      <c r="B20" s="6" t="s">
        <v>21</v>
      </c>
    </row>
    <row r="22" spans="1:9" s="50" customFormat="1" ht="41.1" customHeight="1">
      <c r="C22" s="54" t="s">
        <v>54</v>
      </c>
      <c r="D22" s="230" t="s">
        <v>55</v>
      </c>
      <c r="E22" s="54" t="s">
        <v>24</v>
      </c>
      <c r="F22" s="54" t="s">
        <v>25</v>
      </c>
      <c r="G22" s="54" t="s">
        <v>26</v>
      </c>
      <c r="H22" s="54" t="s">
        <v>27</v>
      </c>
      <c r="I22" s="54" t="s">
        <v>28</v>
      </c>
    </row>
    <row r="23" spans="1:9">
      <c r="C23" s="47" t="s">
        <v>31</v>
      </c>
      <c r="D23" s="52">
        <v>132840</v>
      </c>
      <c r="E23" s="53">
        <v>0.90600000000000003</v>
      </c>
      <c r="F23" s="48">
        <v>20.995200000000004</v>
      </c>
      <c r="G23" s="48">
        <v>11.664000000000001</v>
      </c>
      <c r="H23" s="48">
        <v>6.48</v>
      </c>
      <c r="I23" s="48">
        <v>12.3</v>
      </c>
    </row>
    <row r="24" spans="1:9">
      <c r="C24" s="47" t="s">
        <v>35</v>
      </c>
      <c r="D24" s="52">
        <v>131887</v>
      </c>
      <c r="E24" s="53">
        <v>0.91400000000000003</v>
      </c>
      <c r="F24" s="48">
        <v>10.4</v>
      </c>
      <c r="G24" s="48">
        <v>17.600000000000001</v>
      </c>
      <c r="H24" s="48">
        <v>25.3</v>
      </c>
      <c r="I24" s="48">
        <v>30.36</v>
      </c>
    </row>
    <row r="25" spans="1:9">
      <c r="C25" s="47" t="s">
        <v>37</v>
      </c>
      <c r="D25" s="52">
        <v>131850</v>
      </c>
      <c r="E25" s="53">
        <v>0.63800000000000001</v>
      </c>
      <c r="F25" s="48">
        <v>21.7</v>
      </c>
      <c r="G25" s="48">
        <v>7.9</v>
      </c>
      <c r="H25" s="48">
        <v>23</v>
      </c>
      <c r="I25" s="48">
        <v>11</v>
      </c>
    </row>
    <row r="26" spans="1:9">
      <c r="C26" s="47" t="s">
        <v>32</v>
      </c>
      <c r="D26" s="52">
        <v>128630</v>
      </c>
      <c r="E26" s="53">
        <v>0.63800000000000001</v>
      </c>
      <c r="F26" s="48">
        <v>26.3</v>
      </c>
      <c r="G26" s="48">
        <v>9.4</v>
      </c>
      <c r="H26" s="48">
        <v>22.8</v>
      </c>
      <c r="I26" s="48">
        <v>32.200000000000003</v>
      </c>
    </row>
    <row r="27" spans="1:9">
      <c r="C27" s="47" t="s">
        <v>41</v>
      </c>
      <c r="D27" s="52">
        <v>89440</v>
      </c>
      <c r="E27" s="53">
        <v>0.83599999999999997</v>
      </c>
      <c r="F27" s="48">
        <v>24</v>
      </c>
      <c r="G27" s="48">
        <v>21.5</v>
      </c>
      <c r="H27" s="48">
        <v>23.7</v>
      </c>
      <c r="I27" s="48">
        <v>18.399999999999999</v>
      </c>
    </row>
    <row r="28" spans="1:9">
      <c r="C28" s="47" t="s">
        <v>36</v>
      </c>
      <c r="D28" s="52">
        <v>86593</v>
      </c>
      <c r="E28" s="53">
        <v>0.91400000000000003</v>
      </c>
      <c r="F28" s="48">
        <v>18.7</v>
      </c>
      <c r="G28" s="48">
        <v>8.1999999999999993</v>
      </c>
      <c r="H28" s="48">
        <v>34.6</v>
      </c>
      <c r="I28" s="48">
        <v>11.7</v>
      </c>
    </row>
    <row r="29" spans="1:9">
      <c r="C29" s="47" t="s">
        <v>30</v>
      </c>
      <c r="D29" s="52">
        <v>61583</v>
      </c>
      <c r="E29" s="53">
        <v>0.65200000000000002</v>
      </c>
      <c r="F29" s="48">
        <v>23.4</v>
      </c>
      <c r="G29" s="48">
        <v>11.7</v>
      </c>
      <c r="H29" s="48">
        <v>12.9</v>
      </c>
      <c r="I29" s="48">
        <v>29.7</v>
      </c>
    </row>
    <row r="30" spans="1:9">
      <c r="C30" s="47" t="s">
        <v>29</v>
      </c>
      <c r="D30" s="52">
        <v>53273</v>
      </c>
      <c r="E30" s="53">
        <v>0.71</v>
      </c>
      <c r="F30" s="48">
        <v>21.2</v>
      </c>
      <c r="G30" s="48">
        <v>9.9</v>
      </c>
      <c r="H30" s="48">
        <v>19.3</v>
      </c>
      <c r="I30" s="48">
        <v>32.700000000000003</v>
      </c>
    </row>
    <row r="31" spans="1:9">
      <c r="C31" s="47" t="s">
        <v>42</v>
      </c>
      <c r="D31" s="52">
        <v>52483</v>
      </c>
      <c r="E31" s="53">
        <v>0.79100000000000004</v>
      </c>
      <c r="F31" s="48">
        <v>4.5999999999999996</v>
      </c>
      <c r="G31" s="48">
        <v>38.24</v>
      </c>
      <c r="H31" s="48">
        <v>29.2</v>
      </c>
      <c r="I31" s="48">
        <v>34.299999999999997</v>
      </c>
    </row>
    <row r="32" spans="1:9">
      <c r="C32" s="47" t="s">
        <v>34</v>
      </c>
      <c r="D32" s="52">
        <v>45853</v>
      </c>
      <c r="E32" s="53">
        <v>0.79800000000000004</v>
      </c>
      <c r="F32" s="48">
        <v>38.4</v>
      </c>
      <c r="G32" s="48">
        <v>21.1</v>
      </c>
      <c r="H32" s="48">
        <v>5.4</v>
      </c>
      <c r="I32" s="48">
        <v>27.3</v>
      </c>
    </row>
    <row r="33" spans="1:9">
      <c r="C33" s="47" t="s">
        <v>38</v>
      </c>
      <c r="D33" s="52">
        <v>44303</v>
      </c>
      <c r="E33" s="53">
        <v>0.65700000000000003</v>
      </c>
      <c r="F33" s="48">
        <v>22.2</v>
      </c>
      <c r="G33" s="48">
        <v>28.9</v>
      </c>
      <c r="H33" s="48">
        <v>17.899999999999999</v>
      </c>
      <c r="I33" s="48">
        <v>31.9</v>
      </c>
    </row>
    <row r="34" spans="1:9">
      <c r="C34" s="47" t="s">
        <v>39</v>
      </c>
      <c r="D34" s="52">
        <v>42793</v>
      </c>
      <c r="E34" s="53">
        <v>0.91800000000000004</v>
      </c>
      <c r="F34" s="48">
        <v>6.5</v>
      </c>
      <c r="G34" s="48">
        <v>25.9</v>
      </c>
      <c r="H34" s="48">
        <v>21.2</v>
      </c>
      <c r="I34" s="48">
        <v>23.2</v>
      </c>
    </row>
    <row r="35" spans="1:9">
      <c r="C35" s="47" t="s">
        <v>33</v>
      </c>
      <c r="D35" s="52">
        <v>38597</v>
      </c>
      <c r="E35" s="53">
        <v>0.82</v>
      </c>
      <c r="F35" s="48">
        <v>39.200000000000003</v>
      </c>
      <c r="G35" s="48">
        <v>42.4</v>
      </c>
      <c r="H35" s="48">
        <v>12.2</v>
      </c>
      <c r="I35" s="48">
        <v>37.299999999999997</v>
      </c>
    </row>
    <row r="36" spans="1:9">
      <c r="C36" s="47" t="s">
        <v>40</v>
      </c>
      <c r="D36" s="52">
        <v>36850</v>
      </c>
      <c r="E36" s="53">
        <v>0.72</v>
      </c>
      <c r="F36" s="48">
        <v>21.4</v>
      </c>
      <c r="G36" s="48">
        <v>21</v>
      </c>
      <c r="H36" s="48">
        <v>33.700000000000003</v>
      </c>
      <c r="I36" s="48">
        <v>13.4</v>
      </c>
    </row>
    <row r="38" spans="1:9" s="6" customFormat="1">
      <c r="A38" s="5" t="s">
        <v>43</v>
      </c>
      <c r="B38" s="6" t="s">
        <v>44</v>
      </c>
    </row>
  </sheetData>
  <conditionalFormatting sqref="D16">
    <cfRule type="containsText" dxfId="57" priority="7" operator="containsText" text="High">
      <formula>NOT(ISERROR(SEARCH("High",D16)))</formula>
    </cfRule>
  </conditionalFormatting>
  <conditionalFormatting sqref="D17">
    <cfRule type="containsText" dxfId="56" priority="6" operator="containsText" text="Medium">
      <formula>NOT(ISERROR(SEARCH("Medium",D17)))</formula>
    </cfRule>
  </conditionalFormatting>
  <conditionalFormatting sqref="D23:D36">
    <cfRule type="cellIs" dxfId="55" priority="1" operator="between">
      <formula>50000</formula>
      <formula>100000</formula>
    </cfRule>
    <cfRule type="cellIs" dxfId="54" priority="3" operator="lessThan">
      <formula>50000</formula>
    </cfRule>
    <cfRule type="cellIs" dxfId="53" priority="4" operator="greaterThan">
      <formula>100000</formula>
    </cfRule>
  </conditionalFormatting>
  <hyperlinks>
    <hyperlink ref="A1" location="Index!B5" display="Index" xr:uid="{D9385A1D-5BA2-4EBB-8747-6B4815C0DD51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id="{E9A8880E-802E-46F9-8CF8-1D351A60D94A}">
            <xm:f>NOT(ISERROR(SEARCH($E$15,D18)))</xm:f>
            <xm:f>$E$15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33C82-D403-4D45-9FA9-80D0CCD08AD6}">
  <sheetPr>
    <tabColor theme="0"/>
  </sheetPr>
  <dimension ref="A1:M38"/>
  <sheetViews>
    <sheetView showGridLines="0" zoomScaleNormal="100" workbookViewId="0">
      <selection activeCell="C2" sqref="C2"/>
    </sheetView>
  </sheetViews>
  <sheetFormatPr defaultColWidth="9" defaultRowHeight="13.5"/>
  <cols>
    <col min="1" max="2" width="3.625" style="1" customWidth="1"/>
    <col min="3" max="3" width="49.75" style="1" customWidth="1"/>
    <col min="4" max="5" width="20.5" style="1" customWidth="1"/>
    <col min="6" max="6" width="6.625" style="1" customWidth="1"/>
    <col min="7" max="7" width="53.875" style="1" customWidth="1"/>
    <col min="8" max="9" width="20.5" style="1" customWidth="1"/>
    <col min="10" max="11" width="9" style="1"/>
    <col min="12" max="13" width="9" style="1" customWidth="1"/>
    <col min="14" max="16384" width="9" style="1"/>
  </cols>
  <sheetData>
    <row r="1" spans="1:13" s="7" customFormat="1" ht="19.5">
      <c r="A1" s="8"/>
      <c r="B1" s="1"/>
      <c r="C1" s="18" t="e">
        <f ca="1">MID(CELL("filename",A1),FIND("]",CELL("filename",A1))+1,LEN(CELL("filename",A1))-FIND("]",CELL("filename",A1)))</f>
        <v>#VALUE!</v>
      </c>
      <c r="D1" s="10"/>
      <c r="E1" s="11"/>
      <c r="F1" s="12" t="s">
        <v>0</v>
      </c>
      <c r="G1" s="13" t="e">
        <f ca="1">MID(CELL("filename",G1),FIND(" v",CELL("filename",G1))+1,FIND(".xls",CELL("filename",G1))-FIND(" v",CELL("filename",G1))-1)</f>
        <v>#VALUE!</v>
      </c>
      <c r="H1" s="14">
        <f ca="1">TODAY()</f>
        <v>46010</v>
      </c>
      <c r="I1" s="15">
        <f ca="1">NOW()</f>
        <v>46010.527948148148</v>
      </c>
    </row>
    <row r="2" spans="1:13" s="3" customFormat="1" ht="14.1">
      <c r="A2" s="4"/>
      <c r="C2" s="19"/>
      <c r="D2" s="16"/>
      <c r="E2" s="16"/>
      <c r="F2" s="16"/>
      <c r="G2" s="16"/>
      <c r="H2" s="16"/>
      <c r="I2" s="17"/>
      <c r="K2" s="20" t="s">
        <v>1</v>
      </c>
    </row>
    <row r="4" spans="1:13" s="6" customFormat="1">
      <c r="A4" s="5">
        <v>1</v>
      </c>
      <c r="B4" s="6" t="s">
        <v>2</v>
      </c>
    </row>
    <row r="5" spans="1:13">
      <c r="A5" s="2"/>
      <c r="B5" s="2"/>
    </row>
    <row r="6" spans="1:13" ht="15">
      <c r="B6" s="43" t="s">
        <v>56</v>
      </c>
      <c r="L6" s="9"/>
      <c r="M6" s="9"/>
    </row>
    <row r="7" spans="1:13">
      <c r="B7" s="58" t="s">
        <v>57</v>
      </c>
      <c r="L7" s="9"/>
      <c r="M7" s="9"/>
    </row>
    <row r="8" spans="1:13">
      <c r="L8" s="9"/>
      <c r="M8" s="9"/>
    </row>
    <row r="9" spans="1:13" customFormat="1" ht="18.600000000000001" customHeight="1">
      <c r="B9" s="28" t="s">
        <v>4</v>
      </c>
      <c r="C9" s="29" t="s">
        <v>5</v>
      </c>
      <c r="D9" s="30" t="s">
        <v>58</v>
      </c>
      <c r="E9" s="30" t="s">
        <v>59</v>
      </c>
    </row>
    <row r="10" spans="1:13" customFormat="1" ht="26.1" customHeight="1">
      <c r="B10" s="31">
        <v>1</v>
      </c>
      <c r="C10" s="32" t="s">
        <v>60</v>
      </c>
      <c r="D10" s="169"/>
      <c r="E10" s="21"/>
    </row>
    <row r="11" spans="1:13" customFormat="1" ht="26.1" customHeight="1">
      <c r="B11" s="33">
        <v>2</v>
      </c>
      <c r="C11" s="36" t="s">
        <v>61</v>
      </c>
      <c r="D11" s="170"/>
      <c r="E11" s="21"/>
    </row>
    <row r="12" spans="1:13" customFormat="1" ht="50.1">
      <c r="B12" s="33">
        <v>3</v>
      </c>
      <c r="C12" s="36" t="s">
        <v>62</v>
      </c>
      <c r="D12" s="57"/>
      <c r="E12" s="21"/>
    </row>
    <row r="13" spans="1:13" customFormat="1" ht="26.1" customHeight="1">
      <c r="B13" s="33">
        <v>4</v>
      </c>
      <c r="C13" s="36" t="s">
        <v>63</v>
      </c>
      <c r="D13" s="171"/>
      <c r="E13" s="21"/>
    </row>
    <row r="14" spans="1:13" customFormat="1" ht="26.1" customHeight="1">
      <c r="B14" s="33">
        <v>5</v>
      </c>
      <c r="C14" s="36" t="s">
        <v>64</v>
      </c>
      <c r="D14" s="171"/>
      <c r="E14" s="21"/>
    </row>
    <row r="15" spans="1:13" customFormat="1" ht="26.1" customHeight="1">
      <c r="B15" s="33">
        <v>6</v>
      </c>
      <c r="C15" s="34" t="s">
        <v>65</v>
      </c>
      <c r="D15" s="170"/>
      <c r="E15" s="21"/>
    </row>
    <row r="16" spans="1:13" customFormat="1" ht="40.5">
      <c r="B16" s="33">
        <v>7</v>
      </c>
      <c r="C16" s="34" t="s">
        <v>66</v>
      </c>
      <c r="D16" s="170"/>
      <c r="E16" s="172"/>
      <c r="G16" s="174" t="s">
        <v>67</v>
      </c>
    </row>
    <row r="17" spans="1:6" customFormat="1" ht="38.1" customHeight="1">
      <c r="B17" s="33">
        <v>8</v>
      </c>
      <c r="C17" s="36" t="s">
        <v>68</v>
      </c>
      <c r="D17" s="57"/>
      <c r="E17" s="173"/>
    </row>
    <row r="18" spans="1:6" customFormat="1" ht="26.1" customHeight="1">
      <c r="B18" s="38">
        <v>9</v>
      </c>
      <c r="C18" s="39" t="s">
        <v>69</v>
      </c>
      <c r="D18" s="232"/>
      <c r="E18" s="233"/>
    </row>
    <row r="19" spans="1:6">
      <c r="C19" s="23"/>
    </row>
    <row r="20" spans="1:6" s="6" customFormat="1">
      <c r="A20" s="5">
        <v>2</v>
      </c>
      <c r="B20" s="6" t="s">
        <v>70</v>
      </c>
    </row>
    <row r="22" spans="1:6" customFormat="1" ht="24.95" customHeight="1">
      <c r="C22" s="56" t="s">
        <v>22</v>
      </c>
      <c r="D22" s="56" t="s">
        <v>23</v>
      </c>
      <c r="E22" s="56" t="s">
        <v>71</v>
      </c>
      <c r="F22" s="56" t="s">
        <v>72</v>
      </c>
    </row>
    <row r="23" spans="1:6" customFormat="1">
      <c r="C23" s="55" t="s">
        <v>31</v>
      </c>
      <c r="D23" s="87">
        <v>132840</v>
      </c>
      <c r="E23" s="231">
        <v>6.48</v>
      </c>
      <c r="F23" s="94" t="s">
        <v>73</v>
      </c>
    </row>
    <row r="24" spans="1:6" customFormat="1">
      <c r="C24" s="55" t="s">
        <v>35</v>
      </c>
      <c r="D24" s="87">
        <v>131887</v>
      </c>
      <c r="E24" s="231">
        <v>10.4</v>
      </c>
      <c r="F24" s="94" t="s">
        <v>73</v>
      </c>
    </row>
    <row r="25" spans="1:6" customFormat="1">
      <c r="C25" s="55" t="s">
        <v>37</v>
      </c>
      <c r="D25" s="87">
        <v>131850</v>
      </c>
      <c r="E25" s="231">
        <v>7.9</v>
      </c>
      <c r="F25" s="94" t="s">
        <v>73</v>
      </c>
    </row>
    <row r="26" spans="1:6" customFormat="1">
      <c r="C26" s="55" t="s">
        <v>32</v>
      </c>
      <c r="D26" s="87">
        <v>128630</v>
      </c>
      <c r="E26" s="231">
        <v>9.4</v>
      </c>
      <c r="F26" s="94" t="s">
        <v>73</v>
      </c>
    </row>
    <row r="27" spans="1:6" customFormat="1">
      <c r="C27" s="55" t="s">
        <v>41</v>
      </c>
      <c r="D27" s="87">
        <v>89440</v>
      </c>
      <c r="E27" s="231">
        <v>18.399999999999999</v>
      </c>
      <c r="F27" s="94" t="s">
        <v>74</v>
      </c>
    </row>
    <row r="28" spans="1:6" customFormat="1">
      <c r="C28" s="55" t="s">
        <v>36</v>
      </c>
      <c r="D28" s="87">
        <v>86593</v>
      </c>
      <c r="E28" s="231">
        <v>8.1999999999999993</v>
      </c>
      <c r="F28" s="94" t="s">
        <v>75</v>
      </c>
    </row>
    <row r="29" spans="1:6" customFormat="1">
      <c r="C29" s="55" t="s">
        <v>30</v>
      </c>
      <c r="D29" s="87">
        <v>61583</v>
      </c>
      <c r="E29" s="231">
        <v>11.7</v>
      </c>
      <c r="F29" s="94" t="s">
        <v>76</v>
      </c>
    </row>
    <row r="30" spans="1:6" customFormat="1">
      <c r="C30" s="55" t="s">
        <v>29</v>
      </c>
      <c r="D30" s="87">
        <v>53273</v>
      </c>
      <c r="E30" s="231">
        <v>9.9</v>
      </c>
      <c r="F30" s="94" t="s">
        <v>74</v>
      </c>
    </row>
    <row r="31" spans="1:6" customFormat="1">
      <c r="C31" s="55" t="s">
        <v>42</v>
      </c>
      <c r="D31" s="87">
        <v>52483</v>
      </c>
      <c r="E31" s="231">
        <v>4.5999999999999996</v>
      </c>
      <c r="F31" s="94" t="s">
        <v>75</v>
      </c>
    </row>
    <row r="32" spans="1:6" customFormat="1">
      <c r="C32" s="55" t="s">
        <v>34</v>
      </c>
      <c r="D32" s="87">
        <v>45853</v>
      </c>
      <c r="E32" s="231">
        <v>5.4</v>
      </c>
      <c r="F32" s="94" t="s">
        <v>73</v>
      </c>
    </row>
    <row r="33" spans="1:6" customFormat="1">
      <c r="C33" s="55" t="s">
        <v>38</v>
      </c>
      <c r="D33" s="87">
        <v>44303</v>
      </c>
      <c r="E33" s="231">
        <v>17.899999999999999</v>
      </c>
      <c r="F33" s="93" t="s">
        <v>75</v>
      </c>
    </row>
    <row r="34" spans="1:6" customFormat="1">
      <c r="C34" s="55" t="s">
        <v>39</v>
      </c>
      <c r="D34" s="87">
        <v>42793</v>
      </c>
      <c r="E34" s="231">
        <v>6.5</v>
      </c>
      <c r="F34" s="93" t="s">
        <v>75</v>
      </c>
    </row>
    <row r="35" spans="1:6" customFormat="1">
      <c r="C35" s="55" t="s">
        <v>33</v>
      </c>
      <c r="D35" s="87">
        <v>38597</v>
      </c>
      <c r="E35" s="231">
        <v>12.2</v>
      </c>
      <c r="F35" s="93" t="s">
        <v>73</v>
      </c>
    </row>
    <row r="36" spans="1:6" customFormat="1">
      <c r="C36" s="55" t="s">
        <v>40</v>
      </c>
      <c r="D36" s="87">
        <v>36850</v>
      </c>
      <c r="E36" s="231">
        <v>13.4</v>
      </c>
      <c r="F36" s="93" t="s">
        <v>74</v>
      </c>
    </row>
    <row r="37" spans="1:6" customFormat="1"/>
    <row r="38" spans="1:6" s="6" customFormat="1">
      <c r="A38" s="5" t="s">
        <v>43</v>
      </c>
      <c r="B38" s="6" t="s">
        <v>44</v>
      </c>
    </row>
  </sheetData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2C793EC2-2070-416A-B86D-0B05D7E60E6F}">
            <xm:f>'1.3 Functions - Solution'!$D10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D10:D18</xm:sqref>
        </x14:conditionalFormatting>
        <x14:conditionalFormatting xmlns:xm="http://schemas.microsoft.com/office/excel/2006/main">
          <x14:cfRule type="cellIs" priority="58" operator="equal" id="{2C793EC2-2070-416A-B86D-0B05D7E60E6F}">
            <xm:f>'1.3 Functions - Solution'!#REF!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4F020-9388-4B0D-B722-58BEC086ECC5}">
  <sheetPr>
    <tabColor theme="5"/>
  </sheetPr>
  <dimension ref="A1:M38"/>
  <sheetViews>
    <sheetView showGridLines="0" topLeftCell="A2" zoomScale="102" zoomScaleNormal="90" workbookViewId="0">
      <selection activeCell="D10" sqref="D10:D18"/>
    </sheetView>
  </sheetViews>
  <sheetFormatPr defaultColWidth="9" defaultRowHeight="13.5"/>
  <cols>
    <col min="1" max="2" width="3.625" style="1" customWidth="1"/>
    <col min="3" max="3" width="74" style="1" bestFit="1" customWidth="1"/>
    <col min="4" max="9" width="20.5" style="1" customWidth="1"/>
    <col min="10" max="11" width="9" style="1"/>
    <col min="12" max="13" width="9" style="1" customWidth="1"/>
    <col min="14" max="16384" width="9" style="1"/>
  </cols>
  <sheetData>
    <row r="1" spans="1:13" s="7" customFormat="1" ht="19.5">
      <c r="A1" s="8" t="s">
        <v>45</v>
      </c>
      <c r="B1" s="1"/>
      <c r="C1" s="18" t="e">
        <f ca="1">MID(CELL("filename",A1),FIND("]",CELL("filename",A1))+1,LEN(CELL("filename",A1))-FIND("]",CELL("filename",A1)))</f>
        <v>#VALUE!</v>
      </c>
      <c r="D1" s="10"/>
      <c r="E1" s="11"/>
      <c r="F1" s="12" t="s">
        <v>0</v>
      </c>
      <c r="G1" s="13" t="e">
        <f ca="1">MID(CELL("filename",G1),FIND(" v",CELL("filename",G1))+1,FIND(".xls",CELL("filename",G1))-FIND(" v",CELL("filename",G1))-1)</f>
        <v>#VALUE!</v>
      </c>
      <c r="H1" s="14">
        <f ca="1">TODAY()</f>
        <v>46010</v>
      </c>
      <c r="I1" s="15">
        <f ca="1">NOW()</f>
        <v>46010.527948148148</v>
      </c>
    </row>
    <row r="2" spans="1:13" s="3" customFormat="1" ht="14.1">
      <c r="A2" s="4"/>
      <c r="C2" s="19" t="s">
        <v>46</v>
      </c>
      <c r="D2" s="16"/>
      <c r="E2" s="16"/>
      <c r="F2" s="16"/>
      <c r="G2" s="16"/>
      <c r="H2" s="16"/>
      <c r="I2" s="17"/>
      <c r="K2" s="20" t="s">
        <v>1</v>
      </c>
    </row>
    <row r="4" spans="1:13" s="6" customFormat="1">
      <c r="A4" s="5">
        <v>1</v>
      </c>
      <c r="B4" s="6" t="s">
        <v>2</v>
      </c>
    </row>
    <row r="5" spans="1:13">
      <c r="A5" s="2"/>
      <c r="B5" s="2"/>
    </row>
    <row r="6" spans="1:13" ht="15">
      <c r="B6" s="43" t="s">
        <v>56</v>
      </c>
      <c r="L6" s="9"/>
      <c r="M6" s="9"/>
    </row>
    <row r="7" spans="1:13">
      <c r="B7" s="58" t="s">
        <v>57</v>
      </c>
      <c r="L7" s="9"/>
      <c r="M7" s="9"/>
    </row>
    <row r="8" spans="1:13">
      <c r="L8" s="9"/>
      <c r="M8" s="9"/>
    </row>
    <row r="9" spans="1:13" customFormat="1" ht="18.600000000000001" customHeight="1">
      <c r="B9" s="28" t="s">
        <v>4</v>
      </c>
      <c r="C9" s="29" t="s">
        <v>5</v>
      </c>
      <c r="D9" s="30" t="s">
        <v>58</v>
      </c>
      <c r="E9" s="21"/>
    </row>
    <row r="10" spans="1:13" customFormat="1" ht="18.600000000000001" customHeight="1">
      <c r="B10" s="31">
        <v>1</v>
      </c>
      <c r="C10" s="32" t="s">
        <v>60</v>
      </c>
      <c r="D10" s="77">
        <f>D23+D24</f>
        <v>264727</v>
      </c>
      <c r="E10" s="21"/>
    </row>
    <row r="11" spans="1:13" customFormat="1" ht="18.600000000000001" customHeight="1">
      <c r="B11" s="33">
        <v>2</v>
      </c>
      <c r="C11" s="36" t="s">
        <v>61</v>
      </c>
      <c r="D11" s="59">
        <f>SUM(D23:D36)</f>
        <v>1076975</v>
      </c>
      <c r="E11" s="21"/>
    </row>
    <row r="12" spans="1:13" customFormat="1" ht="33.950000000000003" customHeight="1">
      <c r="B12" s="33">
        <v>3</v>
      </c>
      <c r="C12" s="36" t="s">
        <v>77</v>
      </c>
      <c r="D12" s="60">
        <f>COUNT(D23:D36)</f>
        <v>14</v>
      </c>
      <c r="E12" s="21"/>
    </row>
    <row r="13" spans="1:13" customFormat="1" ht="24" customHeight="1">
      <c r="B13" s="33">
        <v>4</v>
      </c>
      <c r="C13" s="36" t="s">
        <v>78</v>
      </c>
      <c r="D13" s="78">
        <f>MIN(E23:E36)</f>
        <v>4.5999999999999996</v>
      </c>
      <c r="E13" s="21"/>
    </row>
    <row r="14" spans="1:13" customFormat="1" ht="24" customHeight="1">
      <c r="B14" s="33">
        <v>5</v>
      </c>
      <c r="C14" s="36" t="s">
        <v>64</v>
      </c>
      <c r="D14" s="78">
        <f>MAX(E23:E32)</f>
        <v>18.399999999999999</v>
      </c>
      <c r="E14" s="21"/>
    </row>
    <row r="15" spans="1:13" customFormat="1" ht="24" customHeight="1">
      <c r="B15" s="33">
        <v>6</v>
      </c>
      <c r="C15" s="34" t="s">
        <v>65</v>
      </c>
      <c r="D15" s="59">
        <f>AVERAGE(D23:D36)</f>
        <v>76926.78571428571</v>
      </c>
      <c r="E15" s="21"/>
    </row>
    <row r="16" spans="1:13" customFormat="1" ht="24" customHeight="1">
      <c r="B16" s="33">
        <v>7</v>
      </c>
      <c r="C16" s="34" t="s">
        <v>66</v>
      </c>
      <c r="D16" s="59" t="str">
        <f>IF(E35&gt;15,"TRUE","FALSE")</f>
        <v>FALSE</v>
      </c>
      <c r="E16" s="21"/>
    </row>
    <row r="17" spans="1:6" customFormat="1" ht="26.45" customHeight="1">
      <c r="B17" s="33">
        <v>8</v>
      </c>
      <c r="C17" s="36" t="s">
        <v>79</v>
      </c>
      <c r="D17" s="60">
        <f>COUNTIF(E23:E36,"&gt;15")</f>
        <v>2</v>
      </c>
      <c r="E17" s="21"/>
    </row>
    <row r="18" spans="1:6" customFormat="1" ht="26.1" customHeight="1">
      <c r="B18" s="38">
        <v>9</v>
      </c>
      <c r="C18" s="39" t="s">
        <v>69</v>
      </c>
      <c r="D18" s="234">
        <f>SUMIF(F23:F36,"URBAN",D23:D36)</f>
        <v>609657</v>
      </c>
      <c r="E18" s="21"/>
    </row>
    <row r="19" spans="1:6">
      <c r="C19" s="23"/>
    </row>
    <row r="20" spans="1:6" s="6" customFormat="1">
      <c r="A20" s="5">
        <v>2</v>
      </c>
      <c r="B20" s="6" t="s">
        <v>70</v>
      </c>
    </row>
    <row r="22" spans="1:6" customFormat="1" ht="24.95" customHeight="1">
      <c r="C22" s="56" t="s">
        <v>22</v>
      </c>
      <c r="D22" s="56" t="s">
        <v>23</v>
      </c>
      <c r="E22" s="56" t="s">
        <v>71</v>
      </c>
      <c r="F22" s="56" t="s">
        <v>72</v>
      </c>
    </row>
    <row r="23" spans="1:6" customFormat="1">
      <c r="C23" s="55" t="s">
        <v>31</v>
      </c>
      <c r="D23" s="87">
        <v>132840</v>
      </c>
      <c r="E23" s="231">
        <v>6.48</v>
      </c>
      <c r="F23" s="94" t="s">
        <v>73</v>
      </c>
    </row>
    <row r="24" spans="1:6" customFormat="1">
      <c r="C24" s="55" t="s">
        <v>35</v>
      </c>
      <c r="D24" s="87">
        <v>131887</v>
      </c>
      <c r="E24" s="231">
        <v>10.4</v>
      </c>
      <c r="F24" s="94" t="s">
        <v>73</v>
      </c>
    </row>
    <row r="25" spans="1:6" customFormat="1">
      <c r="C25" s="55" t="s">
        <v>37</v>
      </c>
      <c r="D25" s="87">
        <v>131850</v>
      </c>
      <c r="E25" s="231">
        <v>7.9</v>
      </c>
      <c r="F25" s="94" t="s">
        <v>73</v>
      </c>
    </row>
    <row r="26" spans="1:6" customFormat="1">
      <c r="C26" s="55" t="s">
        <v>32</v>
      </c>
      <c r="D26" s="87">
        <v>128630</v>
      </c>
      <c r="E26" s="231">
        <v>9.4</v>
      </c>
      <c r="F26" s="94" t="s">
        <v>73</v>
      </c>
    </row>
    <row r="27" spans="1:6" customFormat="1">
      <c r="C27" s="55" t="s">
        <v>41</v>
      </c>
      <c r="D27" s="87">
        <v>89440</v>
      </c>
      <c r="E27" s="231">
        <v>18.399999999999999</v>
      </c>
      <c r="F27" s="94" t="s">
        <v>74</v>
      </c>
    </row>
    <row r="28" spans="1:6" customFormat="1">
      <c r="C28" s="55" t="s">
        <v>36</v>
      </c>
      <c r="D28" s="87">
        <v>86593</v>
      </c>
      <c r="E28" s="231">
        <v>8.1999999999999993</v>
      </c>
      <c r="F28" s="94" t="s">
        <v>75</v>
      </c>
    </row>
    <row r="29" spans="1:6" customFormat="1">
      <c r="C29" s="55" t="s">
        <v>30</v>
      </c>
      <c r="D29" s="87">
        <v>61583</v>
      </c>
      <c r="E29" s="231">
        <v>11.7</v>
      </c>
      <c r="F29" s="94" t="s">
        <v>76</v>
      </c>
    </row>
    <row r="30" spans="1:6" customFormat="1">
      <c r="C30" s="55" t="s">
        <v>29</v>
      </c>
      <c r="D30" s="87">
        <v>53273</v>
      </c>
      <c r="E30" s="231">
        <v>9.9</v>
      </c>
      <c r="F30" s="94" t="s">
        <v>74</v>
      </c>
    </row>
    <row r="31" spans="1:6" customFormat="1">
      <c r="C31" s="55" t="s">
        <v>42</v>
      </c>
      <c r="D31" s="87">
        <v>52483</v>
      </c>
      <c r="E31" s="231">
        <v>4.5999999999999996</v>
      </c>
      <c r="F31" s="94" t="s">
        <v>75</v>
      </c>
    </row>
    <row r="32" spans="1:6" customFormat="1">
      <c r="C32" s="55" t="s">
        <v>34</v>
      </c>
      <c r="D32" s="87">
        <v>45853</v>
      </c>
      <c r="E32" s="231">
        <v>5.4</v>
      </c>
      <c r="F32" s="94" t="s">
        <v>73</v>
      </c>
    </row>
    <row r="33" spans="1:6" customFormat="1">
      <c r="C33" s="55" t="s">
        <v>38</v>
      </c>
      <c r="D33" s="87">
        <v>44303</v>
      </c>
      <c r="E33" s="231">
        <v>17.899999999999999</v>
      </c>
      <c r="F33" s="93" t="s">
        <v>75</v>
      </c>
    </row>
    <row r="34" spans="1:6" customFormat="1">
      <c r="C34" s="55" t="s">
        <v>39</v>
      </c>
      <c r="D34" s="87">
        <v>42793</v>
      </c>
      <c r="E34" s="231">
        <v>6.5</v>
      </c>
      <c r="F34" s="93" t="s">
        <v>75</v>
      </c>
    </row>
    <row r="35" spans="1:6" customFormat="1">
      <c r="C35" s="55" t="s">
        <v>33</v>
      </c>
      <c r="D35" s="87">
        <v>38597</v>
      </c>
      <c r="E35" s="231">
        <v>12.2</v>
      </c>
      <c r="F35" s="93" t="s">
        <v>73</v>
      </c>
    </row>
    <row r="36" spans="1:6" customFormat="1">
      <c r="C36" s="55" t="s">
        <v>40</v>
      </c>
      <c r="D36" s="87">
        <v>36850</v>
      </c>
      <c r="E36" s="231">
        <v>13.4</v>
      </c>
      <c r="F36" s="93" t="s">
        <v>74</v>
      </c>
    </row>
    <row r="37" spans="1:6" customFormat="1">
      <c r="C37" s="62"/>
      <c r="D37" s="63"/>
      <c r="E37" s="64"/>
      <c r="F37" s="62"/>
    </row>
    <row r="38" spans="1:6" s="6" customFormat="1">
      <c r="A38" s="5" t="s">
        <v>43</v>
      </c>
      <c r="B38" s="6" t="s">
        <v>44</v>
      </c>
    </row>
  </sheetData>
  <conditionalFormatting sqref="D18">
    <cfRule type="cellIs" dxfId="49" priority="59" operator="equal">
      <formula>#REF!</formula>
    </cfRule>
  </conditionalFormatting>
  <hyperlinks>
    <hyperlink ref="A1" location="Index!B5" display="Index" xr:uid="{53CA92A0-B152-4543-A272-A423957E4698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1C707-7500-4E11-BC9E-33CD9EE2BFBE}">
  <sheetPr>
    <tabColor theme="0"/>
  </sheetPr>
  <dimension ref="A1:EB174"/>
  <sheetViews>
    <sheetView showGridLines="0" zoomScaleNormal="100" workbookViewId="0">
      <pane xSplit="2" ySplit="7" topLeftCell="C59" activePane="bottomRight" state="frozen"/>
      <selection pane="bottomRight"/>
      <selection pane="bottomLeft" activeCell="A8" sqref="A8"/>
      <selection pane="topRight" activeCell="C1" sqref="C1"/>
    </sheetView>
  </sheetViews>
  <sheetFormatPr defaultColWidth="8.375" defaultRowHeight="13.5"/>
  <cols>
    <col min="1" max="2" width="3.375" style="98" customWidth="1"/>
    <col min="3" max="3" width="8.375" style="98"/>
    <col min="4" max="4" width="9.375" style="98" bestFit="1" customWidth="1"/>
    <col min="5" max="6" width="34.875" style="98" customWidth="1"/>
    <col min="7" max="12" width="10.375" style="98" customWidth="1"/>
    <col min="13" max="13" width="3.625" style="98" customWidth="1"/>
    <col min="14" max="14" width="15.375" style="98" customWidth="1"/>
    <col min="15" max="16384" width="8.375" style="98"/>
  </cols>
  <sheetData>
    <row r="1" spans="1:9" ht="19.5">
      <c r="A1" s="4"/>
      <c r="C1" s="99" t="e">
        <f ca="1">MID(CELL("filename",A1),FIND("]",CELL("filename",A1))+1,LEN(CELL("filename",A1))-FIND("]",CELL("filename",A1)))</f>
        <v>#VALUE!</v>
      </c>
      <c r="D1" s="100"/>
      <c r="E1" s="101"/>
      <c r="F1" s="102"/>
      <c r="G1" s="103"/>
      <c r="H1" s="104">
        <f ca="1">TODAY()</f>
        <v>46010</v>
      </c>
      <c r="I1" s="105">
        <f ca="1">NOW()</f>
        <v>46010.527948148148</v>
      </c>
    </row>
    <row r="2" spans="1:9" s="106" customFormat="1" ht="14.1">
      <c r="A2" s="4"/>
      <c r="C2" s="107"/>
      <c r="D2" s="108"/>
      <c r="E2" s="108"/>
      <c r="F2" s="108"/>
      <c r="G2" s="108"/>
      <c r="H2" s="108"/>
      <c r="I2" s="109"/>
    </row>
    <row r="4" spans="1:9" s="6" customFormat="1" ht="14.1">
      <c r="A4" s="5">
        <v>1</v>
      </c>
      <c r="C4" s="6" t="s">
        <v>80</v>
      </c>
      <c r="D4" s="75"/>
      <c r="E4" s="75"/>
      <c r="F4" s="75"/>
      <c r="G4" s="75"/>
      <c r="H4" s="75"/>
    </row>
    <row r="5" spans="1:9" s="106" customFormat="1">
      <c r="A5" s="110"/>
      <c r="B5" s="110"/>
    </row>
    <row r="6" spans="1:9" s="106" customFormat="1">
      <c r="A6" s="110"/>
      <c r="B6" s="110"/>
      <c r="C6" s="148" t="s">
        <v>81</v>
      </c>
      <c r="D6" s="106" t="s">
        <v>82</v>
      </c>
    </row>
    <row r="7" spans="1:9" s="106" customFormat="1">
      <c r="A7" s="110"/>
      <c r="B7" s="110"/>
    </row>
    <row r="8" spans="1:9" s="6" customFormat="1" ht="14.1">
      <c r="A8"/>
      <c r="B8" s="5" t="s">
        <v>83</v>
      </c>
      <c r="C8" s="6" t="s">
        <v>84</v>
      </c>
      <c r="D8" s="75"/>
      <c r="E8" s="75"/>
      <c r="F8" s="75"/>
      <c r="G8" s="75"/>
      <c r="H8" s="75"/>
    </row>
    <row r="10" spans="1:9" ht="14.1">
      <c r="C10" s="111" t="s">
        <v>85</v>
      </c>
    </row>
    <row r="12" spans="1:9">
      <c r="D12" s="112" t="s">
        <v>86</v>
      </c>
      <c r="E12" s="113" t="s">
        <v>87</v>
      </c>
      <c r="F12" s="114" t="s">
        <v>88</v>
      </c>
    </row>
    <row r="13" spans="1:9">
      <c r="D13" s="115" t="s">
        <v>89</v>
      </c>
      <c r="E13" s="116" t="s">
        <v>90</v>
      </c>
      <c r="F13" s="117">
        <v>25895.648225224126</v>
      </c>
    </row>
    <row r="14" spans="1:9">
      <c r="D14" s="115" t="s">
        <v>91</v>
      </c>
      <c r="E14" s="116" t="s">
        <v>92</v>
      </c>
      <c r="F14" s="117">
        <v>16844.750599924373</v>
      </c>
    </row>
    <row r="15" spans="1:9">
      <c r="D15" s="115" t="s">
        <v>93</v>
      </c>
      <c r="E15" s="116" t="s">
        <v>94</v>
      </c>
      <c r="F15" s="117">
        <v>5171.3466840634164</v>
      </c>
    </row>
    <row r="16" spans="1:9">
      <c r="D16" s="115" t="s">
        <v>95</v>
      </c>
      <c r="E16" s="116" t="s">
        <v>96</v>
      </c>
      <c r="F16" s="117">
        <v>2097.7191763775413</v>
      </c>
    </row>
    <row r="17" spans="4:6">
      <c r="D17" s="115" t="s">
        <v>91</v>
      </c>
      <c r="E17" s="116" t="s">
        <v>97</v>
      </c>
      <c r="F17" s="117">
        <v>11954.269258884242</v>
      </c>
    </row>
    <row r="18" spans="4:6">
      <c r="D18" s="115" t="s">
        <v>89</v>
      </c>
      <c r="E18" s="116" t="s">
        <v>98</v>
      </c>
      <c r="F18" s="117">
        <v>7022.3388667854151</v>
      </c>
    </row>
    <row r="19" spans="4:6">
      <c r="D19" s="115" t="s">
        <v>91</v>
      </c>
      <c r="E19" s="116" t="s">
        <v>99</v>
      </c>
      <c r="F19" s="117">
        <v>8029.5090805860336</v>
      </c>
    </row>
    <row r="20" spans="4:6">
      <c r="D20" s="115" t="s">
        <v>93</v>
      </c>
      <c r="E20" s="116" t="s">
        <v>100</v>
      </c>
      <c r="F20" s="117">
        <v>13656.864061828412</v>
      </c>
    </row>
    <row r="21" spans="4:6">
      <c r="D21" s="115" t="s">
        <v>95</v>
      </c>
      <c r="E21" s="116" t="s">
        <v>101</v>
      </c>
      <c r="F21" s="117">
        <v>9703.823335491632</v>
      </c>
    </row>
    <row r="22" spans="4:6">
      <c r="D22" s="115" t="s">
        <v>91</v>
      </c>
      <c r="E22" s="116" t="s">
        <v>102</v>
      </c>
      <c r="F22" s="117">
        <v>7726.1124347208251</v>
      </c>
    </row>
    <row r="23" spans="4:6">
      <c r="D23" s="115" t="s">
        <v>89</v>
      </c>
      <c r="E23" s="116" t="s">
        <v>103</v>
      </c>
      <c r="F23" s="117">
        <v>7428.5442397058141</v>
      </c>
    </row>
    <row r="24" spans="4:6">
      <c r="D24" s="115" t="s">
        <v>91</v>
      </c>
      <c r="E24" s="116" t="s">
        <v>104</v>
      </c>
      <c r="F24" s="117">
        <v>11533.718799040878</v>
      </c>
    </row>
    <row r="25" spans="4:6">
      <c r="D25" s="115" t="s">
        <v>93</v>
      </c>
      <c r="E25" s="116" t="s">
        <v>105</v>
      </c>
      <c r="F25" s="117">
        <v>11968.751606615406</v>
      </c>
    </row>
    <row r="26" spans="4:6">
      <c r="D26" s="115" t="s">
        <v>95</v>
      </c>
      <c r="E26" s="116" t="s">
        <v>106</v>
      </c>
      <c r="F26" s="117">
        <v>4284.8052782731847</v>
      </c>
    </row>
    <row r="27" spans="4:6">
      <c r="D27" s="115" t="s">
        <v>91</v>
      </c>
      <c r="E27" s="116" t="s">
        <v>107</v>
      </c>
      <c r="F27" s="117">
        <v>10774.342520488877</v>
      </c>
    </row>
    <row r="28" spans="4:6">
      <c r="D28" s="115" t="s">
        <v>89</v>
      </c>
      <c r="E28" s="116" t="s">
        <v>108</v>
      </c>
      <c r="F28" s="117">
        <v>7717.7285714445543</v>
      </c>
    </row>
    <row r="29" spans="4:6">
      <c r="D29" s="115" t="s">
        <v>91</v>
      </c>
      <c r="E29" s="116" t="s">
        <v>109</v>
      </c>
      <c r="F29" s="117">
        <v>8567.547901431255</v>
      </c>
    </row>
    <row r="30" spans="4:6" ht="12" customHeight="1">
      <c r="D30" s="115" t="s">
        <v>93</v>
      </c>
      <c r="E30" s="116" t="s">
        <v>110</v>
      </c>
      <c r="F30" s="117">
        <v>6302.0472850143642</v>
      </c>
    </row>
    <row r="31" spans="4:6">
      <c r="D31" s="115" t="s">
        <v>95</v>
      </c>
      <c r="E31" s="116" t="s">
        <v>111</v>
      </c>
      <c r="F31" s="117">
        <v>12735.110363828502</v>
      </c>
    </row>
    <row r="32" spans="4:6">
      <c r="D32" s="115" t="s">
        <v>91</v>
      </c>
      <c r="E32" s="116" t="s">
        <v>112</v>
      </c>
      <c r="F32" s="117">
        <v>7280.8569389817885</v>
      </c>
    </row>
    <row r="33" spans="4:6">
      <c r="D33" s="115" t="s">
        <v>89</v>
      </c>
      <c r="E33" s="116" t="s">
        <v>113</v>
      </c>
      <c r="F33" s="117">
        <v>7311.687013663267</v>
      </c>
    </row>
    <row r="34" spans="4:6">
      <c r="D34" s="115" t="s">
        <v>91</v>
      </c>
      <c r="E34" s="116" t="s">
        <v>114</v>
      </c>
      <c r="F34" s="117">
        <v>3958.0515082940765</v>
      </c>
    </row>
    <row r="35" spans="4:6">
      <c r="D35" s="115" t="s">
        <v>93</v>
      </c>
      <c r="E35" s="116" t="s">
        <v>115</v>
      </c>
      <c r="F35" s="117">
        <v>12513.266133676427</v>
      </c>
    </row>
    <row r="36" spans="4:6">
      <c r="D36" s="115" t="s">
        <v>95</v>
      </c>
      <c r="E36" s="116" t="s">
        <v>116</v>
      </c>
      <c r="F36" s="117">
        <v>11228.758174583172</v>
      </c>
    </row>
    <row r="37" spans="4:6">
      <c r="D37" s="115" t="s">
        <v>91</v>
      </c>
      <c r="E37" s="116" t="s">
        <v>117</v>
      </c>
      <c r="F37" s="117">
        <v>8017.7809291224112</v>
      </c>
    </row>
    <row r="38" spans="4:6">
      <c r="D38" s="115" t="s">
        <v>89</v>
      </c>
      <c r="E38" s="116" t="s">
        <v>118</v>
      </c>
      <c r="F38" s="117">
        <v>3941.6883204250776</v>
      </c>
    </row>
    <row r="39" spans="4:6">
      <c r="D39" s="115" t="s">
        <v>91</v>
      </c>
      <c r="E39" s="116" t="s">
        <v>119</v>
      </c>
      <c r="F39" s="117">
        <v>2399.8126807583599</v>
      </c>
    </row>
    <row r="40" spans="4:6">
      <c r="D40" s="115" t="s">
        <v>93</v>
      </c>
      <c r="E40" s="116" t="s">
        <v>120</v>
      </c>
      <c r="F40" s="117">
        <v>7234.8645888754663</v>
      </c>
    </row>
    <row r="41" spans="4:6">
      <c r="D41" s="115" t="s">
        <v>95</v>
      </c>
      <c r="E41" s="116" t="s">
        <v>121</v>
      </c>
      <c r="F41" s="117">
        <v>8144.3976622469463</v>
      </c>
    </row>
    <row r="42" spans="4:6">
      <c r="D42" s="115" t="s">
        <v>91</v>
      </c>
      <c r="E42" s="116" t="s">
        <v>122</v>
      </c>
      <c r="F42" s="117">
        <v>5958.7573063305645</v>
      </c>
    </row>
    <row r="43" spans="4:6">
      <c r="D43" s="115" t="s">
        <v>89</v>
      </c>
      <c r="E43" s="116" t="s">
        <v>123</v>
      </c>
      <c r="F43" s="117">
        <v>6684.5042603322026</v>
      </c>
    </row>
    <row r="44" spans="4:6">
      <c r="D44" s="115" t="s">
        <v>91</v>
      </c>
      <c r="E44" s="116" t="s">
        <v>124</v>
      </c>
      <c r="F44" s="117">
        <v>8690.2301614530606</v>
      </c>
    </row>
    <row r="45" spans="4:6">
      <c r="D45" s="115" t="s">
        <v>93</v>
      </c>
      <c r="E45" s="116" t="s">
        <v>125</v>
      </c>
      <c r="F45" s="117">
        <v>5312.286350781068</v>
      </c>
    </row>
    <row r="46" spans="4:6">
      <c r="D46" s="115" t="s">
        <v>95</v>
      </c>
      <c r="E46" s="116" t="s">
        <v>126</v>
      </c>
      <c r="F46" s="117">
        <v>1546.0135089608023</v>
      </c>
    </row>
    <row r="47" spans="4:6">
      <c r="D47" s="115" t="s">
        <v>91</v>
      </c>
      <c r="E47" s="116" t="s">
        <v>127</v>
      </c>
      <c r="F47" s="117">
        <v>1846.2705231397815</v>
      </c>
    </row>
    <row r="48" spans="4:6">
      <c r="D48" s="115" t="s">
        <v>89</v>
      </c>
      <c r="E48" s="116" t="s">
        <v>128</v>
      </c>
      <c r="F48" s="117">
        <v>504.89165002878241</v>
      </c>
    </row>
    <row r="49" spans="4:16">
      <c r="D49" s="115" t="s">
        <v>91</v>
      </c>
      <c r="E49" s="116" t="s">
        <v>129</v>
      </c>
      <c r="F49" s="117">
        <v>5819.9181936572577</v>
      </c>
    </row>
    <row r="50" spans="4:16">
      <c r="D50" s="115" t="s">
        <v>93</v>
      </c>
      <c r="E50" s="116" t="s">
        <v>130</v>
      </c>
      <c r="F50" s="117">
        <v>8586.5582781513149</v>
      </c>
    </row>
    <row r="51" spans="4:16">
      <c r="D51" s="115" t="s">
        <v>95</v>
      </c>
      <c r="E51" s="116" t="s">
        <v>131</v>
      </c>
      <c r="F51" s="117">
        <v>4991.6463253174952</v>
      </c>
    </row>
    <row r="52" spans="4:16">
      <c r="D52" s="115" t="s">
        <v>91</v>
      </c>
      <c r="E52" s="116" t="s">
        <v>132</v>
      </c>
      <c r="F52" s="117">
        <v>8553.0260981656756</v>
      </c>
    </row>
    <row r="53" spans="4:16">
      <c r="D53" s="115" t="s">
        <v>89</v>
      </c>
      <c r="E53" s="116" t="s">
        <v>133</v>
      </c>
      <c r="F53" s="117">
        <v>13149.165184548647</v>
      </c>
    </row>
    <row r="54" spans="4:16">
      <c r="D54" s="115" t="s">
        <v>91</v>
      </c>
      <c r="E54" s="116" t="s">
        <v>134</v>
      </c>
      <c r="F54" s="117">
        <v>17355.017184505519</v>
      </c>
      <c r="G54" s="118"/>
      <c r="H54" s="118"/>
      <c r="I54" s="118"/>
      <c r="J54" s="118"/>
      <c r="K54" s="118"/>
      <c r="L54" s="118"/>
      <c r="M54" s="118"/>
      <c r="N54" s="118"/>
      <c r="O54" s="118"/>
      <c r="P54" s="118"/>
    </row>
    <row r="55" spans="4:16">
      <c r="D55" s="115" t="s">
        <v>93</v>
      </c>
      <c r="E55" s="116" t="s">
        <v>135</v>
      </c>
      <c r="F55" s="117">
        <v>11697.945642140592</v>
      </c>
      <c r="G55" s="118"/>
      <c r="H55" s="118"/>
      <c r="I55" s="118"/>
      <c r="J55" s="118"/>
      <c r="K55" s="118"/>
      <c r="L55" s="118"/>
      <c r="M55" s="118"/>
      <c r="N55" s="118"/>
      <c r="O55" s="118"/>
      <c r="P55" s="118"/>
    </row>
    <row r="56" spans="4:16">
      <c r="D56" s="115" t="s">
        <v>95</v>
      </c>
      <c r="E56" s="119" t="s">
        <v>136</v>
      </c>
      <c r="F56" s="120">
        <v>6227.5464690011431</v>
      </c>
      <c r="G56" s="118"/>
      <c r="H56" s="118"/>
      <c r="I56" s="118"/>
      <c r="J56" s="118"/>
      <c r="K56" s="118"/>
      <c r="L56" s="118"/>
      <c r="M56" s="118"/>
      <c r="N56" s="118"/>
      <c r="O56" s="118"/>
      <c r="P56" s="118"/>
    </row>
    <row r="57" spans="4:16">
      <c r="D57" s="115" t="s">
        <v>91</v>
      </c>
      <c r="E57" s="116" t="s">
        <v>137</v>
      </c>
      <c r="F57" s="117">
        <v>11523.589232014203</v>
      </c>
      <c r="G57" s="118"/>
      <c r="H57" s="118"/>
      <c r="I57" s="118"/>
      <c r="J57" s="118"/>
      <c r="K57" s="118"/>
      <c r="L57" s="118"/>
      <c r="M57" s="118"/>
      <c r="N57" s="118"/>
      <c r="O57" s="118"/>
      <c r="P57" s="118"/>
    </row>
    <row r="58" spans="4:16">
      <c r="D58" s="115" t="s">
        <v>89</v>
      </c>
      <c r="E58" s="116" t="s">
        <v>138</v>
      </c>
      <c r="F58" s="117">
        <v>6532.9017670155736</v>
      </c>
      <c r="G58" s="118"/>
      <c r="H58" s="118"/>
      <c r="I58" s="118"/>
      <c r="J58" s="118"/>
      <c r="K58" s="118"/>
      <c r="L58" s="118"/>
      <c r="M58" s="118"/>
      <c r="N58" s="118"/>
      <c r="O58" s="118"/>
      <c r="P58" s="118"/>
    </row>
    <row r="59" spans="4:16">
      <c r="D59" s="115" t="s">
        <v>91</v>
      </c>
      <c r="E59" s="116" t="s">
        <v>139</v>
      </c>
      <c r="F59" s="117">
        <v>14841.504222659045</v>
      </c>
      <c r="G59" s="118"/>
      <c r="H59" s="118"/>
      <c r="I59" s="118"/>
      <c r="J59" s="118"/>
      <c r="K59" s="118"/>
      <c r="L59" s="118"/>
      <c r="M59" s="118"/>
      <c r="N59" s="118"/>
      <c r="O59" s="118"/>
      <c r="P59" s="118"/>
    </row>
    <row r="60" spans="4:16">
      <c r="D60" s="115" t="s">
        <v>93</v>
      </c>
      <c r="E60" s="116" t="s">
        <v>140</v>
      </c>
      <c r="F60" s="117">
        <v>6161.9037527937471</v>
      </c>
      <c r="G60" s="118"/>
      <c r="H60" s="118"/>
      <c r="I60" s="118"/>
      <c r="J60" s="118"/>
      <c r="K60" s="118"/>
      <c r="L60" s="118"/>
      <c r="M60" s="118"/>
      <c r="N60" s="118"/>
      <c r="O60" s="118"/>
      <c r="P60" s="118"/>
    </row>
    <row r="61" spans="4:16">
      <c r="D61" s="115" t="s">
        <v>95</v>
      </c>
      <c r="E61" s="116" t="s">
        <v>141</v>
      </c>
      <c r="F61" s="117">
        <v>7860.7491689426633</v>
      </c>
      <c r="G61" s="118"/>
      <c r="H61" s="118"/>
      <c r="I61" s="118"/>
      <c r="J61" s="118"/>
      <c r="K61" s="118"/>
      <c r="L61" s="118"/>
      <c r="M61" s="118"/>
      <c r="N61" s="118"/>
      <c r="O61" s="118"/>
      <c r="P61" s="118"/>
    </row>
    <row r="62" spans="4:16">
      <c r="D62" s="115" t="s">
        <v>91</v>
      </c>
      <c r="E62" s="116" t="s">
        <v>142</v>
      </c>
      <c r="F62" s="117">
        <v>10600.897712243113</v>
      </c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4:16">
      <c r="D63" s="115" t="s">
        <v>89</v>
      </c>
      <c r="E63" s="116" t="s">
        <v>143</v>
      </c>
      <c r="F63" s="117">
        <v>4480.5416598028851</v>
      </c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4:16">
      <c r="D64" s="115" t="s">
        <v>91</v>
      </c>
      <c r="E64" s="116" t="s">
        <v>144</v>
      </c>
      <c r="F64" s="117">
        <v>6817.8629016444766</v>
      </c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4:16">
      <c r="D65" s="115" t="s">
        <v>93</v>
      </c>
      <c r="E65" s="116" t="s">
        <v>145</v>
      </c>
      <c r="F65" s="117">
        <v>10352.871213928353</v>
      </c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  <row r="66" spans="4:16">
      <c r="D66" s="115" t="s">
        <v>95</v>
      </c>
      <c r="E66" s="116" t="s">
        <v>146</v>
      </c>
      <c r="F66" s="117">
        <v>5834.0517111051031</v>
      </c>
      <c r="G66" s="118"/>
      <c r="H66" s="118"/>
      <c r="I66" s="118"/>
      <c r="J66" s="118"/>
      <c r="K66" s="118"/>
      <c r="L66" s="118"/>
      <c r="M66" s="118"/>
      <c r="N66" s="118"/>
      <c r="O66" s="118"/>
      <c r="P66" s="118"/>
    </row>
    <row r="67" spans="4:16">
      <c r="D67" s="115" t="s">
        <v>91</v>
      </c>
      <c r="E67" s="116" t="s">
        <v>147</v>
      </c>
      <c r="F67" s="117">
        <v>6609.4410107719095</v>
      </c>
      <c r="G67" s="118"/>
      <c r="H67" s="118"/>
      <c r="I67" s="118"/>
      <c r="J67" s="118"/>
      <c r="K67" s="118"/>
      <c r="L67" s="118"/>
      <c r="M67" s="118"/>
      <c r="N67" s="118"/>
      <c r="O67" s="118"/>
      <c r="P67" s="118"/>
    </row>
    <row r="68" spans="4:16">
      <c r="D68" s="115" t="s">
        <v>89</v>
      </c>
      <c r="E68" s="116" t="s">
        <v>148</v>
      </c>
      <c r="F68" s="117">
        <v>7864.1467747025436</v>
      </c>
      <c r="G68" s="118"/>
      <c r="H68" s="118"/>
      <c r="I68" s="118"/>
      <c r="J68" s="118"/>
      <c r="K68" s="118"/>
      <c r="L68" s="118"/>
      <c r="M68" s="118"/>
      <c r="N68" s="118"/>
      <c r="O68" s="118"/>
      <c r="P68" s="118"/>
    </row>
    <row r="69" spans="4:16">
      <c r="D69" s="115" t="s">
        <v>91</v>
      </c>
      <c r="E69" s="116" t="s">
        <v>149</v>
      </c>
      <c r="F69" s="117">
        <v>5138.2314044059167</v>
      </c>
      <c r="G69" s="118"/>
      <c r="H69" s="118"/>
      <c r="I69" s="118"/>
      <c r="J69" s="118"/>
      <c r="K69" s="118"/>
      <c r="L69" s="118"/>
      <c r="M69" s="118"/>
      <c r="N69" s="118"/>
      <c r="O69" s="118"/>
      <c r="P69" s="118"/>
    </row>
    <row r="70" spans="4:16">
      <c r="D70" s="115" t="s">
        <v>93</v>
      </c>
      <c r="E70" s="116" t="s">
        <v>150</v>
      </c>
      <c r="F70" s="117">
        <v>6163.8976633754573</v>
      </c>
      <c r="G70" s="118"/>
      <c r="H70" s="118"/>
      <c r="I70" s="118"/>
      <c r="J70" s="118"/>
      <c r="K70" s="118"/>
      <c r="L70" s="118"/>
      <c r="M70" s="118"/>
      <c r="N70" s="118"/>
      <c r="O70" s="118"/>
      <c r="P70" s="118"/>
    </row>
    <row r="71" spans="4:16">
      <c r="D71" s="115" t="s">
        <v>95</v>
      </c>
      <c r="E71" s="116" t="s">
        <v>151</v>
      </c>
      <c r="F71" s="117">
        <v>7090.6110378396015</v>
      </c>
      <c r="G71" s="118"/>
      <c r="H71" s="118"/>
      <c r="I71" s="118"/>
      <c r="J71" s="118"/>
      <c r="K71" s="118"/>
      <c r="L71" s="118"/>
      <c r="M71" s="118"/>
      <c r="N71" s="118"/>
      <c r="O71" s="118"/>
      <c r="P71" s="118"/>
    </row>
    <row r="72" spans="4:16">
      <c r="D72" s="115" t="s">
        <v>91</v>
      </c>
      <c r="E72" s="116" t="s">
        <v>152</v>
      </c>
      <c r="F72" s="117">
        <v>5297.892168127747</v>
      </c>
    </row>
    <row r="73" spans="4:16">
      <c r="D73" s="115" t="s">
        <v>89</v>
      </c>
      <c r="E73" s="116" t="s">
        <v>153</v>
      </c>
      <c r="F73" s="117">
        <v>4919.9348491417595</v>
      </c>
    </row>
    <row r="74" spans="4:16">
      <c r="D74" s="115" t="s">
        <v>91</v>
      </c>
      <c r="E74" s="116" t="s">
        <v>154</v>
      </c>
      <c r="F74" s="117">
        <v>4336.8853015822151</v>
      </c>
    </row>
    <row r="75" spans="4:16">
      <c r="D75" s="115" t="s">
        <v>93</v>
      </c>
      <c r="E75" s="116" t="s">
        <v>155</v>
      </c>
      <c r="F75" s="117">
        <v>5394.714401685651</v>
      </c>
    </row>
    <row r="76" spans="4:16">
      <c r="D76" s="115" t="s">
        <v>95</v>
      </c>
      <c r="E76" s="116" t="s">
        <v>156</v>
      </c>
      <c r="F76" s="117">
        <v>4490.2246759704221</v>
      </c>
    </row>
    <row r="77" spans="4:16">
      <c r="D77" s="115" t="s">
        <v>91</v>
      </c>
      <c r="E77" s="116" t="s">
        <v>157</v>
      </c>
      <c r="F77" s="117">
        <v>1725.305044100171</v>
      </c>
    </row>
    <row r="78" spans="4:16">
      <c r="D78" s="115" t="s">
        <v>89</v>
      </c>
      <c r="E78" s="116" t="s">
        <v>158</v>
      </c>
      <c r="F78" s="117">
        <v>3895.7486028152725</v>
      </c>
    </row>
    <row r="79" spans="4:16">
      <c r="D79" s="115" t="s">
        <v>91</v>
      </c>
      <c r="E79" s="116" t="s">
        <v>159</v>
      </c>
      <c r="F79" s="117">
        <v>10862.738565435408</v>
      </c>
    </row>
    <row r="80" spans="4:16">
      <c r="D80" s="115" t="s">
        <v>93</v>
      </c>
      <c r="E80" s="116" t="s">
        <v>160</v>
      </c>
      <c r="F80" s="117">
        <v>11992.671580337299</v>
      </c>
    </row>
    <row r="81" spans="4:6">
      <c r="D81" s="115" t="s">
        <v>95</v>
      </c>
      <c r="E81" s="116" t="s">
        <v>161</v>
      </c>
      <c r="F81" s="117">
        <v>14395.931009759846</v>
      </c>
    </row>
    <row r="82" spans="4:6">
      <c r="D82" s="115" t="s">
        <v>91</v>
      </c>
      <c r="E82" s="116" t="s">
        <v>162</v>
      </c>
      <c r="F82" s="117">
        <v>11072.517963321452</v>
      </c>
    </row>
    <row r="83" spans="4:6">
      <c r="D83" s="115" t="s">
        <v>89</v>
      </c>
      <c r="E83" s="116" t="s">
        <v>163</v>
      </c>
      <c r="F83" s="117">
        <v>16566.692547342202</v>
      </c>
    </row>
    <row r="84" spans="4:6">
      <c r="D84" s="115" t="s">
        <v>91</v>
      </c>
      <c r="E84" s="116" t="s">
        <v>164</v>
      </c>
      <c r="F84" s="117">
        <v>5928.3570765682834</v>
      </c>
    </row>
    <row r="85" spans="4:6">
      <c r="D85" s="115" t="s">
        <v>93</v>
      </c>
      <c r="E85" s="116" t="s">
        <v>165</v>
      </c>
      <c r="F85" s="117">
        <v>7086.5980720984562</v>
      </c>
    </row>
    <row r="86" spans="4:6">
      <c r="D86" s="115" t="s">
        <v>95</v>
      </c>
      <c r="E86" s="116" t="s">
        <v>166</v>
      </c>
      <c r="F86" s="117">
        <v>1783.6156145077273</v>
      </c>
    </row>
    <row r="87" spans="4:6">
      <c r="D87" s="115" t="s">
        <v>91</v>
      </c>
      <c r="E87" s="116" t="s">
        <v>167</v>
      </c>
      <c r="F87" s="117">
        <v>2990.4717109389726</v>
      </c>
    </row>
    <row r="88" spans="4:6">
      <c r="D88" s="115" t="s">
        <v>89</v>
      </c>
      <c r="E88" s="116" t="s">
        <v>168</v>
      </c>
      <c r="F88" s="117">
        <v>3900.442915635922</v>
      </c>
    </row>
    <row r="89" spans="4:6">
      <c r="D89" s="115" t="s">
        <v>91</v>
      </c>
      <c r="E89" s="116" t="s">
        <v>169</v>
      </c>
      <c r="F89" s="117">
        <v>5747.001889606262</v>
      </c>
    </row>
    <row r="90" spans="4:6">
      <c r="D90" s="115" t="s">
        <v>93</v>
      </c>
      <c r="E90" s="116" t="s">
        <v>170</v>
      </c>
      <c r="F90" s="117">
        <v>6754.9973219107123</v>
      </c>
    </row>
    <row r="91" spans="4:6">
      <c r="D91" s="115" t="s">
        <v>95</v>
      </c>
      <c r="E91" s="116" t="s">
        <v>171</v>
      </c>
      <c r="F91" s="117">
        <v>10.744652737339091</v>
      </c>
    </row>
    <row r="92" spans="4:6">
      <c r="D92" s="115" t="s">
        <v>91</v>
      </c>
      <c r="E92" s="116" t="s">
        <v>172</v>
      </c>
      <c r="F92" s="117">
        <v>1560.4582509353015</v>
      </c>
    </row>
    <row r="93" spans="4:6">
      <c r="D93" s="115" t="s">
        <v>89</v>
      </c>
      <c r="E93" s="116" t="s">
        <v>173</v>
      </c>
      <c r="F93" s="117">
        <v>1866.8570414678002</v>
      </c>
    </row>
    <row r="94" spans="4:6">
      <c r="D94" s="115" t="s">
        <v>91</v>
      </c>
      <c r="E94" s="116" t="s">
        <v>174</v>
      </c>
      <c r="F94" s="117">
        <v>4823.9507524616392</v>
      </c>
    </row>
    <row r="95" spans="4:6">
      <c r="D95" s="115" t="s">
        <v>93</v>
      </c>
      <c r="E95" s="116" t="s">
        <v>175</v>
      </c>
      <c r="F95" s="117">
        <v>22831.743456298369</v>
      </c>
    </row>
    <row r="96" spans="4:6">
      <c r="D96" s="115" t="s">
        <v>95</v>
      </c>
      <c r="E96" s="116" t="s">
        <v>176</v>
      </c>
      <c r="F96" s="117">
        <v>13420.839476614257</v>
      </c>
    </row>
    <row r="97" spans="3:132">
      <c r="D97" s="115" t="s">
        <v>91</v>
      </c>
      <c r="E97" s="116" t="s">
        <v>177</v>
      </c>
      <c r="F97" s="117">
        <v>4621.5006558899768</v>
      </c>
    </row>
    <row r="98" spans="3:132">
      <c r="D98" s="115" t="s">
        <v>89</v>
      </c>
      <c r="E98" s="116" t="s">
        <v>178</v>
      </c>
      <c r="F98" s="117">
        <v>19304.637514688067</v>
      </c>
    </row>
    <row r="99" spans="3:132">
      <c r="D99" s="121" t="s">
        <v>91</v>
      </c>
      <c r="E99" s="122" t="s">
        <v>179</v>
      </c>
      <c r="F99" s="123">
        <v>4793.4076932762582</v>
      </c>
    </row>
    <row r="100" spans="3:132">
      <c r="C100" s="124"/>
      <c r="D100" s="124"/>
      <c r="E100" s="124"/>
    </row>
    <row r="101" spans="3:132">
      <c r="C101" s="124"/>
      <c r="D101" s="124"/>
      <c r="E101" s="124"/>
    </row>
    <row r="102" spans="3:132" ht="14.1">
      <c r="C102" s="125" t="s">
        <v>180</v>
      </c>
      <c r="D102" s="124"/>
      <c r="E102" s="124"/>
    </row>
    <row r="103" spans="3:132">
      <c r="C103" s="124"/>
      <c r="D103" s="124"/>
      <c r="E103" s="124"/>
    </row>
    <row r="104" spans="3:132">
      <c r="C104" s="98" t="s">
        <v>181</v>
      </c>
      <c r="D104" s="149">
        <f>_xlfn.STDEV.P(F13:F99)</f>
        <v>4754.476334240806</v>
      </c>
      <c r="E104" s="124" t="s">
        <v>182</v>
      </c>
      <c r="G104" s="124"/>
      <c r="H104" s="124"/>
      <c r="EB104" s="149">
        <v>4754.476334240806</v>
      </c>
    </row>
    <row r="105" spans="3:132">
      <c r="D105" s="126"/>
      <c r="E105" s="124"/>
      <c r="G105" s="124"/>
      <c r="H105" s="124"/>
      <c r="EB105" s="126"/>
    </row>
    <row r="106" spans="3:132">
      <c r="C106" s="98" t="s">
        <v>183</v>
      </c>
      <c r="D106" s="150">
        <f>AVERAGE(F13:F99)</f>
        <v>7915.1724300617125</v>
      </c>
      <c r="E106" s="124" t="s">
        <v>184</v>
      </c>
      <c r="G106" s="124"/>
      <c r="H106" s="124"/>
      <c r="EB106" s="150">
        <v>7915.1724300617125</v>
      </c>
    </row>
    <row r="107" spans="3:132">
      <c r="D107" s="126"/>
      <c r="E107" s="124"/>
      <c r="G107" s="124"/>
      <c r="H107" s="124"/>
      <c r="EB107" s="126"/>
    </row>
    <row r="108" spans="3:132">
      <c r="C108" s="98" t="s">
        <v>185</v>
      </c>
      <c r="D108" s="149">
        <f>PERCENTILE(F13:F99,0.25)</f>
        <v>4871.9428008016994</v>
      </c>
      <c r="E108" s="124" t="s">
        <v>186</v>
      </c>
      <c r="G108" s="124"/>
      <c r="H108" s="124"/>
      <c r="EB108" s="149">
        <v>4871.9428008016994</v>
      </c>
    </row>
    <row r="109" spans="3:132">
      <c r="C109" s="98" t="s">
        <v>187</v>
      </c>
      <c r="D109" s="149">
        <f>MEDIAN(F13:F99)</f>
        <v>7022.3388667854151</v>
      </c>
      <c r="E109" s="124" t="s">
        <v>188</v>
      </c>
      <c r="G109" s="124"/>
      <c r="H109" s="124"/>
      <c r="EB109" s="149">
        <v>7022.3388667854151</v>
      </c>
    </row>
    <row r="110" spans="3:132">
      <c r="C110" s="98" t="s">
        <v>189</v>
      </c>
      <c r="D110" s="149">
        <f>_xlfn.PERCENTILE.INC(F13:F99,0.75)</f>
        <v>10818.540542962142</v>
      </c>
      <c r="E110" s="124" t="s">
        <v>190</v>
      </c>
      <c r="G110" s="124"/>
      <c r="H110" s="124"/>
      <c r="EB110" s="149">
        <v>10818.540542962142</v>
      </c>
    </row>
    <row r="111" spans="3:132">
      <c r="D111" s="124"/>
      <c r="E111" s="124"/>
      <c r="F111" s="124"/>
      <c r="G111" s="124"/>
      <c r="H111" s="124"/>
    </row>
    <row r="112" spans="3:132">
      <c r="D112" s="124"/>
      <c r="E112" s="124"/>
      <c r="F112" s="124"/>
      <c r="G112" s="124"/>
      <c r="H112" s="124"/>
    </row>
    <row r="113" spans="1:132" ht="14.1">
      <c r="C113" s="125" t="s">
        <v>191</v>
      </c>
      <c r="D113" s="125"/>
      <c r="E113" s="124"/>
      <c r="F113" s="124"/>
      <c r="G113" s="124"/>
      <c r="H113" s="124"/>
    </row>
    <row r="114" spans="1:132">
      <c r="D114" s="151" t="s">
        <v>192</v>
      </c>
      <c r="E114" s="124" t="s">
        <v>193</v>
      </c>
      <c r="F114" s="124"/>
      <c r="G114" s="124"/>
      <c r="H114" s="124"/>
    </row>
    <row r="116" spans="1:132">
      <c r="D116" s="127" t="s">
        <v>194</v>
      </c>
    </row>
    <row r="117" spans="1:132">
      <c r="C117" s="98" t="s">
        <v>195</v>
      </c>
      <c r="D117" s="149">
        <f>COUNTIF(F13:F99,D114)</f>
        <v>25</v>
      </c>
      <c r="E117" s="124" t="s">
        <v>196</v>
      </c>
      <c r="G117" s="124"/>
      <c r="EB117" s="98">
        <v>25</v>
      </c>
    </row>
    <row r="118" spans="1:132">
      <c r="C118" s="98" t="s">
        <v>197</v>
      </c>
      <c r="D118" s="149">
        <f>SUMIF(F13:F99,D114)</f>
        <v>349074.24224993086</v>
      </c>
      <c r="E118" s="124" t="s">
        <v>198</v>
      </c>
      <c r="G118" s="124"/>
      <c r="EB118" s="98">
        <v>349074.24224993086</v>
      </c>
    </row>
    <row r="119" spans="1:132">
      <c r="C119" s="98" t="s">
        <v>199</v>
      </c>
      <c r="D119" s="149">
        <f>AVERAGEIF(F13:F99,D114)</f>
        <v>13962.969689997235</v>
      </c>
      <c r="E119" s="124" t="s">
        <v>200</v>
      </c>
      <c r="G119" s="124"/>
      <c r="EB119" s="98">
        <v>13962.969689997235</v>
      </c>
    </row>
    <row r="120" spans="1:132">
      <c r="D120" s="124"/>
      <c r="E120" s="124"/>
      <c r="G120" s="124"/>
    </row>
    <row r="121" spans="1:132">
      <c r="C121" s="98" t="s">
        <v>201</v>
      </c>
      <c r="D121" s="149">
        <f>COUNTIFS(F13:F99,D114,D13:D99,"NORTH")</f>
        <v>10</v>
      </c>
      <c r="E121" s="124" t="s">
        <v>202</v>
      </c>
      <c r="G121" s="124"/>
      <c r="EB121" s="98">
        <v>10</v>
      </c>
    </row>
    <row r="122" spans="1:132">
      <c r="C122" s="98" t="s">
        <v>203</v>
      </c>
      <c r="D122" s="149">
        <f>SUMIFS($F$13:$F$99,$D$13:$D$99,"NORTH",F13:F99,D114)</f>
        <v>127363.3460585171</v>
      </c>
      <c r="E122" s="124" t="s">
        <v>204</v>
      </c>
      <c r="G122" s="124"/>
      <c r="EB122" s="98">
        <v>127363.3460585171</v>
      </c>
    </row>
    <row r="123" spans="1:132">
      <c r="C123" s="98" t="s">
        <v>205</v>
      </c>
      <c r="D123" s="149">
        <f>AVERAGEIFS($F$13:$F$99,$D$13:$D$99,"North",$F$13:$F$99,D114)</f>
        <v>12736.334605851709</v>
      </c>
      <c r="E123" s="124" t="s">
        <v>206</v>
      </c>
      <c r="G123" s="124"/>
      <c r="EB123" s="98">
        <v>12736.334605851709</v>
      </c>
    </row>
    <row r="125" spans="1:132" s="6" customFormat="1" ht="14.1">
      <c r="A125"/>
      <c r="B125" s="5" t="s">
        <v>207</v>
      </c>
      <c r="C125" s="6" t="s">
        <v>208</v>
      </c>
      <c r="D125" s="75"/>
      <c r="E125" s="75"/>
      <c r="F125" s="75"/>
      <c r="G125" s="75"/>
      <c r="H125" s="75"/>
    </row>
    <row r="127" spans="1:132" ht="14.1">
      <c r="C127" s="111" t="s">
        <v>209</v>
      </c>
    </row>
    <row r="129" spans="4:12" ht="81">
      <c r="D129" s="124"/>
      <c r="E129" s="128" t="s">
        <v>210</v>
      </c>
      <c r="F129" s="129" t="s">
        <v>211</v>
      </c>
      <c r="G129" s="129" t="s">
        <v>212</v>
      </c>
      <c r="H129" s="129" t="s">
        <v>213</v>
      </c>
      <c r="I129" s="130" t="s">
        <v>214</v>
      </c>
      <c r="J129" s="130" t="s">
        <v>215</v>
      </c>
      <c r="K129" s="130" t="s">
        <v>216</v>
      </c>
      <c r="L129" s="131" t="s">
        <v>217</v>
      </c>
    </row>
    <row r="130" spans="4:12">
      <c r="D130" s="124"/>
      <c r="E130" s="132" t="s">
        <v>218</v>
      </c>
      <c r="F130" s="133">
        <v>0</v>
      </c>
      <c r="G130" s="133">
        <v>0</v>
      </c>
      <c r="H130" s="133">
        <v>0</v>
      </c>
      <c r="I130" s="133">
        <v>0</v>
      </c>
      <c r="J130" s="133">
        <v>0</v>
      </c>
      <c r="K130" s="133">
        <v>0</v>
      </c>
      <c r="L130" s="134">
        <v>0</v>
      </c>
    </row>
    <row r="131" spans="4:12">
      <c r="D131" s="124"/>
      <c r="E131" s="132" t="s">
        <v>219</v>
      </c>
      <c r="F131" s="133">
        <v>3209930</v>
      </c>
      <c r="G131" s="133">
        <v>6419860</v>
      </c>
      <c r="H131" s="133">
        <v>802482.5</v>
      </c>
      <c r="I131" s="133">
        <v>1549791.2858531289</v>
      </c>
      <c r="J131" s="133">
        <v>11895668.942242114</v>
      </c>
      <c r="K131" s="133">
        <v>0</v>
      </c>
      <c r="L131" s="134">
        <v>0</v>
      </c>
    </row>
    <row r="132" spans="4:12">
      <c r="D132" s="124"/>
      <c r="E132" s="132" t="s">
        <v>220</v>
      </c>
      <c r="F132" s="133">
        <v>0</v>
      </c>
      <c r="G132" s="133">
        <v>55708.325940902832</v>
      </c>
      <c r="H132" s="133">
        <v>7177.6654940215649</v>
      </c>
      <c r="I132" s="133">
        <v>2611.0414185579994</v>
      </c>
      <c r="J132" s="133">
        <v>3136.294215979085</v>
      </c>
      <c r="K132" s="133">
        <v>0</v>
      </c>
      <c r="L132" s="134">
        <v>0</v>
      </c>
    </row>
    <row r="133" spans="4:12">
      <c r="D133" s="124"/>
      <c r="E133" s="132" t="s">
        <v>221</v>
      </c>
      <c r="F133" s="133">
        <v>0</v>
      </c>
      <c r="G133" s="133">
        <v>0</v>
      </c>
      <c r="H133" s="133">
        <v>0</v>
      </c>
      <c r="I133" s="133">
        <v>0</v>
      </c>
      <c r="J133" s="133">
        <v>0</v>
      </c>
      <c r="K133" s="133">
        <v>0</v>
      </c>
      <c r="L133" s="134">
        <v>0</v>
      </c>
    </row>
    <row r="134" spans="4:12">
      <c r="D134" s="124"/>
      <c r="E134" s="132" t="s">
        <v>222</v>
      </c>
      <c r="F134" s="133">
        <v>0</v>
      </c>
      <c r="G134" s="133">
        <v>0</v>
      </c>
      <c r="H134" s="133">
        <v>0</v>
      </c>
      <c r="I134" s="133">
        <v>0</v>
      </c>
      <c r="J134" s="133">
        <v>0</v>
      </c>
      <c r="K134" s="133">
        <v>0</v>
      </c>
      <c r="L134" s="134">
        <v>0</v>
      </c>
    </row>
    <row r="135" spans="4:12">
      <c r="D135" s="124"/>
      <c r="E135" s="132" t="s">
        <v>223</v>
      </c>
      <c r="F135" s="133">
        <v>0</v>
      </c>
      <c r="G135" s="133">
        <v>0</v>
      </c>
      <c r="H135" s="133">
        <v>0</v>
      </c>
      <c r="I135" s="133">
        <v>0</v>
      </c>
      <c r="J135" s="133">
        <v>0</v>
      </c>
      <c r="K135" s="133">
        <v>0</v>
      </c>
      <c r="L135" s="134">
        <v>0</v>
      </c>
    </row>
    <row r="136" spans="4:12">
      <c r="D136" s="124"/>
      <c r="E136" s="132" t="s">
        <v>224</v>
      </c>
      <c r="F136" s="133">
        <v>0</v>
      </c>
      <c r="G136" s="133">
        <v>0</v>
      </c>
      <c r="H136" s="133">
        <v>0</v>
      </c>
      <c r="I136" s="133">
        <v>0</v>
      </c>
      <c r="J136" s="133">
        <v>0</v>
      </c>
      <c r="K136" s="133">
        <v>0</v>
      </c>
      <c r="L136" s="134">
        <v>0</v>
      </c>
    </row>
    <row r="137" spans="4:12">
      <c r="D137" s="124"/>
      <c r="E137" s="132" t="s">
        <v>225</v>
      </c>
      <c r="F137" s="133">
        <v>4595156.044728593</v>
      </c>
      <c r="G137" s="133">
        <v>7846589.7203857433</v>
      </c>
      <c r="H137" s="133">
        <v>809314.15898720606</v>
      </c>
      <c r="I137" s="133">
        <v>1549791.2858531289</v>
      </c>
      <c r="J137" s="133">
        <v>11895668.942242114</v>
      </c>
      <c r="K137" s="133">
        <v>0</v>
      </c>
      <c r="L137" s="134">
        <v>0</v>
      </c>
    </row>
    <row r="138" spans="4:12">
      <c r="D138" s="124"/>
      <c r="E138" s="132" t="s">
        <v>226</v>
      </c>
      <c r="F138" s="133">
        <v>121935.59277140624</v>
      </c>
      <c r="G138" s="133">
        <v>153663.95367335656</v>
      </c>
      <c r="H138" s="133">
        <v>13252.488018772281</v>
      </c>
      <c r="I138" s="133">
        <v>57695.347728313318</v>
      </c>
      <c r="J138" s="133">
        <v>481171.85003371211</v>
      </c>
      <c r="K138" s="133">
        <v>0</v>
      </c>
      <c r="L138" s="134">
        <v>0</v>
      </c>
    </row>
    <row r="139" spans="4:12">
      <c r="D139" s="124"/>
      <c r="E139" s="132" t="s">
        <v>227</v>
      </c>
      <c r="F139" s="133">
        <v>0</v>
      </c>
      <c r="G139" s="133">
        <v>0</v>
      </c>
      <c r="H139" s="133">
        <v>0</v>
      </c>
      <c r="I139" s="133">
        <v>0</v>
      </c>
      <c r="J139" s="133">
        <v>0</v>
      </c>
      <c r="K139" s="133">
        <v>0</v>
      </c>
      <c r="L139" s="134">
        <v>0</v>
      </c>
    </row>
    <row r="140" spans="4:12">
      <c r="D140" s="124"/>
      <c r="E140" s="132" t="s">
        <v>228</v>
      </c>
      <c r="F140" s="133">
        <v>0</v>
      </c>
      <c r="G140" s="133">
        <v>0</v>
      </c>
      <c r="H140" s="133">
        <v>0</v>
      </c>
      <c r="I140" s="133">
        <v>0</v>
      </c>
      <c r="J140" s="133">
        <v>0</v>
      </c>
      <c r="K140" s="133">
        <v>0</v>
      </c>
      <c r="L140" s="134">
        <v>0</v>
      </c>
    </row>
    <row r="141" spans="4:12">
      <c r="D141" s="124"/>
      <c r="E141" s="132" t="s">
        <v>229</v>
      </c>
      <c r="F141" s="133">
        <v>0</v>
      </c>
      <c r="G141" s="133">
        <v>0</v>
      </c>
      <c r="H141" s="133">
        <v>0</v>
      </c>
      <c r="I141" s="133">
        <v>0</v>
      </c>
      <c r="J141" s="133">
        <v>0</v>
      </c>
      <c r="K141" s="133">
        <v>0</v>
      </c>
      <c r="L141" s="134">
        <v>0</v>
      </c>
    </row>
    <row r="142" spans="4:12">
      <c r="D142" s="124"/>
      <c r="E142" s="132" t="s">
        <v>230</v>
      </c>
      <c r="F142" s="133">
        <v>0</v>
      </c>
      <c r="G142" s="133">
        <v>0</v>
      </c>
      <c r="H142" s="133">
        <v>0</v>
      </c>
      <c r="I142" s="133">
        <v>0</v>
      </c>
      <c r="J142" s="133">
        <v>0</v>
      </c>
      <c r="K142" s="133">
        <v>0</v>
      </c>
      <c r="L142" s="134">
        <v>1500654.2432666258</v>
      </c>
    </row>
    <row r="143" spans="4:12">
      <c r="D143" s="124"/>
      <c r="E143" s="135" t="s">
        <v>231</v>
      </c>
      <c r="F143" s="136">
        <v>0</v>
      </c>
      <c r="G143" s="136">
        <v>0</v>
      </c>
      <c r="H143" s="136">
        <v>0</v>
      </c>
      <c r="I143" s="136">
        <v>0</v>
      </c>
      <c r="J143" s="136">
        <v>0</v>
      </c>
      <c r="K143" s="136">
        <v>0</v>
      </c>
      <c r="L143" s="137">
        <v>0</v>
      </c>
    </row>
    <row r="144" spans="4:12">
      <c r="D144" s="124"/>
      <c r="E144" s="124"/>
      <c r="F144" s="124"/>
      <c r="G144" s="124"/>
      <c r="H144" s="124"/>
      <c r="I144" s="124"/>
      <c r="J144" s="124"/>
      <c r="K144" s="124"/>
      <c r="L144" s="124"/>
    </row>
    <row r="145" spans="4:13">
      <c r="D145" s="124"/>
      <c r="E145" s="124"/>
      <c r="F145" s="124"/>
      <c r="G145" s="124"/>
      <c r="H145" s="124"/>
      <c r="I145" s="124"/>
      <c r="J145" s="124"/>
      <c r="K145" s="124"/>
      <c r="L145" s="124"/>
    </row>
    <row r="146" spans="4:13">
      <c r="D146" s="124"/>
      <c r="E146" s="124"/>
      <c r="F146" s="124"/>
      <c r="G146" s="124"/>
      <c r="H146" s="124"/>
      <c r="I146" s="124"/>
      <c r="J146" s="124"/>
      <c r="K146" s="124"/>
      <c r="L146" s="124"/>
    </row>
    <row r="147" spans="4:13">
      <c r="D147" s="124"/>
      <c r="E147" s="124"/>
      <c r="F147" s="124"/>
      <c r="G147" s="124"/>
      <c r="H147" s="124"/>
      <c r="I147" s="124"/>
      <c r="J147" s="124"/>
      <c r="K147" s="124"/>
      <c r="L147" s="124"/>
    </row>
    <row r="148" spans="4:13" ht="14.1">
      <c r="D148" s="125" t="s">
        <v>232</v>
      </c>
      <c r="E148" s="124"/>
      <c r="F148" s="124"/>
      <c r="G148" s="124"/>
      <c r="H148" s="124"/>
      <c r="I148" s="124"/>
      <c r="J148" s="124"/>
      <c r="K148" s="124"/>
      <c r="L148" s="124"/>
    </row>
    <row r="149" spans="4:13" ht="14.1">
      <c r="D149" s="124"/>
      <c r="E149" s="124"/>
      <c r="F149" s="124"/>
      <c r="G149" s="124"/>
      <c r="H149" s="124"/>
      <c r="I149" s="125"/>
      <c r="J149" s="124"/>
      <c r="K149" s="124"/>
      <c r="L149" s="124"/>
    </row>
    <row r="150" spans="4:13" ht="27">
      <c r="F150" s="138" t="s">
        <v>225</v>
      </c>
      <c r="G150" s="138" t="s">
        <v>212</v>
      </c>
      <c r="H150" s="152">
        <f>INDEX($F$130:$L$143,MATCH(F150,$E$130:$E$143,0),MATCH($G150,$F$129:$L$129,0))</f>
        <v>7846589.7203857433</v>
      </c>
      <c r="I150" s="139" t="s">
        <v>233</v>
      </c>
      <c r="J150" s="124"/>
      <c r="K150" s="124"/>
      <c r="L150" s="124"/>
    </row>
    <row r="151" spans="4:13" ht="27">
      <c r="F151" s="138" t="s">
        <v>226</v>
      </c>
      <c r="G151" s="138" t="s">
        <v>234</v>
      </c>
      <c r="H151" s="152">
        <f>INDEX($F$130:$L$143,MATCH(F151,$E$130:$E$143,0),MATCH($G151,$F$129:$L$129,0))</f>
        <v>153663.95367335656</v>
      </c>
      <c r="I151" s="139" t="s">
        <v>233</v>
      </c>
      <c r="J151" s="124"/>
      <c r="K151" s="124"/>
      <c r="L151" s="124"/>
    </row>
    <row r="152" spans="4:13" ht="40.5">
      <c r="D152" s="124"/>
      <c r="E152" s="124"/>
      <c r="F152" s="138" t="s">
        <v>225</v>
      </c>
      <c r="G152" s="138" t="s">
        <v>213</v>
      </c>
      <c r="H152" s="152">
        <f t="shared" ref="H152:H153" si="0">INDEX($F$130:$L$143,MATCH(F152,$E$130:$E$143,0),MATCH($G152,$F$129:$L$129,0))</f>
        <v>809314.15898720606</v>
      </c>
      <c r="I152" s="139" t="s">
        <v>233</v>
      </c>
      <c r="J152" s="124"/>
      <c r="K152" s="124"/>
      <c r="L152" s="124"/>
      <c r="M152" s="124"/>
    </row>
    <row r="153" spans="4:13" ht="40.5">
      <c r="D153" s="124"/>
      <c r="E153" s="124"/>
      <c r="F153" s="138" t="s">
        <v>226</v>
      </c>
      <c r="G153" s="138" t="s">
        <v>213</v>
      </c>
      <c r="H153" s="152">
        <f t="shared" si="0"/>
        <v>13252.488018772281</v>
      </c>
      <c r="I153" s="139" t="s">
        <v>233</v>
      </c>
      <c r="J153" s="124"/>
      <c r="K153" s="124"/>
      <c r="L153" s="124"/>
      <c r="M153" s="124"/>
    </row>
    <row r="154" spans="4:13">
      <c r="D154" s="124"/>
      <c r="E154" s="124"/>
      <c r="F154" s="124"/>
      <c r="G154" s="124"/>
      <c r="H154" s="124"/>
      <c r="J154" s="124"/>
      <c r="K154" s="124"/>
      <c r="L154" s="124"/>
      <c r="M154" s="124"/>
    </row>
    <row r="155" spans="4:13" ht="14.1">
      <c r="D155" s="125" t="s">
        <v>235</v>
      </c>
      <c r="E155" s="124"/>
      <c r="F155" s="124"/>
      <c r="G155" s="124"/>
      <c r="H155" s="124"/>
      <c r="I155" s="124"/>
      <c r="J155" s="124"/>
      <c r="K155" s="124"/>
      <c r="L155" s="124"/>
    </row>
    <row r="156" spans="4:13">
      <c r="D156" s="124"/>
      <c r="E156" s="124"/>
      <c r="F156" s="124"/>
      <c r="G156" s="124"/>
      <c r="H156" s="124"/>
      <c r="I156" s="124"/>
      <c r="J156" s="124"/>
      <c r="K156" s="124"/>
      <c r="L156" s="124"/>
    </row>
    <row r="157" spans="4:13" ht="14.1">
      <c r="D157" s="124"/>
      <c r="E157" s="140" t="s">
        <v>236</v>
      </c>
      <c r="F157" s="140" t="s">
        <v>237</v>
      </c>
      <c r="G157" s="124"/>
      <c r="H157" s="141" t="s">
        <v>238</v>
      </c>
      <c r="I157" s="124"/>
      <c r="J157" s="124"/>
      <c r="K157" s="124"/>
      <c r="L157" s="124"/>
    </row>
    <row r="158" spans="4:13">
      <c r="D158" s="124"/>
      <c r="E158" s="124"/>
      <c r="F158" s="124"/>
      <c r="G158" s="124"/>
      <c r="H158" s="124"/>
      <c r="I158" s="124"/>
      <c r="J158" s="124"/>
      <c r="K158" s="124"/>
      <c r="L158" s="124"/>
    </row>
    <row r="159" spans="4:13">
      <c r="D159" s="124"/>
      <c r="E159" s="148" t="str" cm="1">
        <f t="array" ref="E159:E165">TRANSPOSE(F129:L129)</f>
        <v>Staff- Medical</v>
      </c>
      <c r="F159" s="129" t="s">
        <v>211</v>
      </c>
      <c r="G159" s="124"/>
      <c r="H159" s="142" t="s">
        <v>239</v>
      </c>
      <c r="I159" s="124"/>
      <c r="J159" s="124"/>
      <c r="K159" s="124"/>
      <c r="L159" s="124"/>
    </row>
    <row r="160" spans="4:13">
      <c r="D160" s="124"/>
      <c r="E160" s="148" t="str">
        <v>Staff- Nursing</v>
      </c>
      <c r="F160" s="129" t="s">
        <v>212</v>
      </c>
      <c r="G160" s="124"/>
      <c r="H160" s="142" t="s">
        <v>239</v>
      </c>
      <c r="I160" s="124"/>
      <c r="J160" s="124"/>
      <c r="K160" s="124"/>
      <c r="L160" s="124"/>
    </row>
    <row r="161" spans="1:13">
      <c r="D161" s="124"/>
      <c r="E161" s="148" t="str">
        <v>Staff - other clinical</v>
      </c>
      <c r="F161" s="129" t="s">
        <v>213</v>
      </c>
      <c r="G161" s="124"/>
      <c r="H161" s="142" t="s">
        <v>239</v>
      </c>
      <c r="I161" s="124"/>
      <c r="J161" s="124"/>
      <c r="K161" s="124"/>
      <c r="L161" s="124"/>
    </row>
    <row r="162" spans="1:13">
      <c r="D162" s="124"/>
      <c r="E162" s="148" t="str">
        <v>Staff- Non-clinical</v>
      </c>
      <c r="F162" s="130" t="s">
        <v>214</v>
      </c>
      <c r="G162" s="124"/>
      <c r="H162" s="142" t="s">
        <v>239</v>
      </c>
      <c r="I162" s="124"/>
      <c r="J162" s="124"/>
      <c r="K162" s="124"/>
      <c r="L162" s="124"/>
    </row>
    <row r="163" spans="1:13" ht="27">
      <c r="D163" s="124"/>
      <c r="E163" s="148" t="str">
        <v>Clinical service and supplies including drugs</v>
      </c>
      <c r="F163" s="130" t="s">
        <v>215</v>
      </c>
      <c r="G163" s="124"/>
      <c r="H163" s="142" t="s">
        <v>239</v>
      </c>
      <c r="I163" s="124"/>
      <c r="J163" s="124"/>
      <c r="K163" s="124"/>
      <c r="L163" s="124"/>
    </row>
    <row r="164" spans="1:13">
      <c r="D164" s="124"/>
      <c r="E164" s="148" t="str">
        <v>Non-clinical services</v>
      </c>
      <c r="F164" s="130" t="s">
        <v>216</v>
      </c>
      <c r="G164" s="124"/>
      <c r="H164" s="142" t="s">
        <v>239</v>
      </c>
      <c r="I164" s="124"/>
      <c r="J164" s="124"/>
      <c r="K164" s="124"/>
      <c r="L164" s="124"/>
    </row>
    <row r="165" spans="1:13">
      <c r="D165" s="124"/>
      <c r="E165" s="148" t="str">
        <v>Corporate services</v>
      </c>
      <c r="F165" s="131" t="s">
        <v>217</v>
      </c>
      <c r="G165" s="124"/>
      <c r="H165" s="142" t="s">
        <v>239</v>
      </c>
      <c r="I165" s="124"/>
      <c r="J165" s="124"/>
      <c r="K165" s="124"/>
      <c r="L165" s="124"/>
    </row>
    <row r="166" spans="1:13">
      <c r="D166" s="124"/>
      <c r="E166" s="124"/>
      <c r="F166" s="124"/>
      <c r="G166" s="124"/>
      <c r="H166" s="124"/>
      <c r="I166" s="124"/>
      <c r="J166" s="124"/>
      <c r="K166" s="124"/>
      <c r="L166" s="124"/>
    </row>
    <row r="167" spans="1:13">
      <c r="D167" s="124"/>
      <c r="E167" s="124"/>
      <c r="F167" s="124"/>
      <c r="G167" s="124"/>
      <c r="H167" s="124"/>
      <c r="I167" s="124"/>
      <c r="J167" s="124"/>
      <c r="K167" s="124"/>
      <c r="L167" s="124"/>
    </row>
    <row r="168" spans="1:13" ht="14.1">
      <c r="D168" s="125" t="s">
        <v>240</v>
      </c>
      <c r="E168" s="124"/>
      <c r="F168" s="124"/>
      <c r="G168" s="124"/>
      <c r="H168" s="124"/>
      <c r="I168" s="124"/>
      <c r="J168" s="124"/>
      <c r="K168" s="124"/>
      <c r="L168" s="124"/>
    </row>
    <row r="169" spans="1:13">
      <c r="D169" s="124"/>
      <c r="E169" s="124"/>
      <c r="F169" s="124"/>
      <c r="G169" s="124"/>
      <c r="H169" s="124"/>
      <c r="I169" s="124"/>
      <c r="J169" s="124"/>
      <c r="K169" s="124"/>
      <c r="L169" s="124"/>
    </row>
    <row r="170" spans="1:13" ht="81">
      <c r="D170" s="124"/>
      <c r="E170" s="143" t="s">
        <v>210</v>
      </c>
      <c r="F170" s="144" t="s">
        <v>211</v>
      </c>
      <c r="G170" s="144" t="s">
        <v>212</v>
      </c>
      <c r="H170" s="144" t="s">
        <v>213</v>
      </c>
      <c r="I170" s="145" t="s">
        <v>214</v>
      </c>
      <c r="J170" s="145" t="s">
        <v>215</v>
      </c>
      <c r="K170" s="145" t="s">
        <v>216</v>
      </c>
      <c r="L170" s="145" t="s">
        <v>217</v>
      </c>
    </row>
    <row r="171" spans="1:13">
      <c r="D171" s="124"/>
      <c r="E171" s="146" t="s">
        <v>219</v>
      </c>
      <c r="F171" s="153">
        <f>RANK(F131,$F$131:$L$131,0)</f>
        <v>3</v>
      </c>
      <c r="G171" s="153">
        <f t="shared" ref="G171:L171" si="1">RANK(G131,$F$131:$L$131,0)</f>
        <v>2</v>
      </c>
      <c r="H171" s="153">
        <f t="shared" si="1"/>
        <v>5</v>
      </c>
      <c r="I171" s="153">
        <f t="shared" si="1"/>
        <v>4</v>
      </c>
      <c r="J171" s="153">
        <f t="shared" si="1"/>
        <v>1</v>
      </c>
      <c r="K171" s="153">
        <f t="shared" si="1"/>
        <v>6</v>
      </c>
      <c r="L171" s="153">
        <f t="shared" si="1"/>
        <v>6</v>
      </c>
      <c r="M171"/>
    </row>
    <row r="173" spans="1:13">
      <c r="F173" s="147">
        <v>3</v>
      </c>
      <c r="G173" s="147">
        <v>2</v>
      </c>
      <c r="H173" s="147">
        <v>5</v>
      </c>
      <c r="I173" s="147">
        <v>4</v>
      </c>
      <c r="J173" s="147">
        <v>1</v>
      </c>
      <c r="K173" s="147">
        <v>6</v>
      </c>
      <c r="L173" s="147">
        <v>6</v>
      </c>
    </row>
    <row r="174" spans="1:13" s="6" customFormat="1" ht="14.1">
      <c r="A174" s="5" t="s">
        <v>43</v>
      </c>
      <c r="C174" s="6" t="s">
        <v>44</v>
      </c>
      <c r="D174" s="75"/>
      <c r="E174" s="75"/>
      <c r="F174" s="75"/>
      <c r="G174" s="75"/>
      <c r="H174" s="75"/>
    </row>
  </sheetData>
  <conditionalFormatting sqref="F171:L171">
    <cfRule type="cellIs" dxfId="48" priority="9" operator="equal">
      <formula>F$173</formula>
    </cfRule>
  </conditionalFormatting>
  <conditionalFormatting sqref="H159:H165">
    <cfRule type="expression" dxfId="47" priority="8">
      <formula>AND($E159=$F159,NOT(ISBLANK($E159)),NOT(ISBLANK($F159)))</formula>
    </cfRule>
  </conditionalFormatting>
  <conditionalFormatting sqref="I150">
    <cfRule type="expression" dxfId="46" priority="13">
      <formula>$H$150=$G$137</formula>
    </cfRule>
  </conditionalFormatting>
  <conditionalFormatting sqref="I151">
    <cfRule type="expression" dxfId="45" priority="11">
      <formula>$H$151=$G$138</formula>
    </cfRule>
  </conditionalFormatting>
  <conditionalFormatting sqref="I152">
    <cfRule type="expression" dxfId="44" priority="12">
      <formula>$H$152=$H$137</formula>
    </cfRule>
  </conditionalFormatting>
  <conditionalFormatting sqref="I153">
    <cfRule type="expression" dxfId="43" priority="10">
      <formula>$H$153=$H$138</formula>
    </cfRule>
  </conditionalFormatting>
  <conditionalFormatting sqref="D117:D119 D121:D123">
    <cfRule type="cellIs" dxfId="42" priority="7" operator="equal">
      <formula>EB117</formula>
    </cfRule>
  </conditionalFormatting>
  <conditionalFormatting sqref="EB104">
    <cfRule type="expression" dxfId="41" priority="6">
      <formula>$D$104=_xlfn.STDEV.P($F$13:$F$99)</formula>
    </cfRule>
  </conditionalFormatting>
  <conditionalFormatting sqref="EB106">
    <cfRule type="expression" dxfId="40" priority="5">
      <formula>$D$106=AVERAGE($F$13:$F$99)</formula>
    </cfRule>
  </conditionalFormatting>
  <conditionalFormatting sqref="EB108">
    <cfRule type="expression" dxfId="39" priority="4">
      <formula>$D$108=_xlfn.QUARTILE.INC($F$13:$F$99,1)</formula>
    </cfRule>
  </conditionalFormatting>
  <conditionalFormatting sqref="EB109">
    <cfRule type="expression" dxfId="38" priority="3">
      <formula>$D$109=_xlfn.QUARTILE.INC($F$13:$F$99,2)</formula>
    </cfRule>
  </conditionalFormatting>
  <conditionalFormatting sqref="EB110">
    <cfRule type="expression" dxfId="37" priority="2">
      <formula>$D$110=_xlfn.QUARTILE.INC($F$13:$F$99,3)</formula>
    </cfRule>
  </conditionalFormatting>
  <conditionalFormatting sqref="D104 D106 D108:D110">
    <cfRule type="cellIs" dxfId="36" priority="1" operator="equal">
      <formula>EB104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8B506-D34B-458F-9DA5-06B5A7F94CBB}">
  <sheetPr>
    <tabColor theme="0"/>
  </sheetPr>
  <dimension ref="A1:M35"/>
  <sheetViews>
    <sheetView showGridLines="0" topLeftCell="A2" zoomScaleNormal="100" workbookViewId="0">
      <selection activeCell="E13" sqref="E13"/>
    </sheetView>
  </sheetViews>
  <sheetFormatPr defaultColWidth="9" defaultRowHeight="14.1"/>
  <cols>
    <col min="1" max="1" width="3.625" style="176" customWidth="1"/>
    <col min="2" max="2" width="5.875" style="176" customWidth="1"/>
    <col min="3" max="3" width="53.25" style="176" bestFit="1" customWidth="1"/>
    <col min="4" max="8" width="16.375" style="190" customWidth="1"/>
    <col min="9" max="11" width="23.875" style="176" customWidth="1"/>
    <col min="12" max="13" width="9" style="176" customWidth="1"/>
    <col min="14" max="16384" width="9" style="176"/>
  </cols>
  <sheetData>
    <row r="1" spans="1:13" s="184" customFormat="1" ht="19.5">
      <c r="A1" s="175"/>
      <c r="B1" s="176"/>
      <c r="C1" s="177" t="e">
        <f ca="1">MID(CELL("filename",A1),FIND("]",CELL("filename",A1))+1,LEN(CELL("filename",A1))-FIND("]",CELL("filename",A1)))</f>
        <v>#VALUE!</v>
      </c>
      <c r="D1" s="178"/>
      <c r="E1" s="179"/>
      <c r="F1" s="180" t="s">
        <v>0</v>
      </c>
      <c r="G1" s="181" t="e">
        <f ca="1">MID(CELL("filename",G1),FIND(" v",CELL("filename",G1))+1,FIND(".xls",CELL("filename",G1))-FIND(" v",CELL("filename",G1))-1)</f>
        <v>#VALUE!</v>
      </c>
      <c r="H1" s="182">
        <f ca="1">TODAY()</f>
        <v>46010</v>
      </c>
      <c r="I1" s="183">
        <f ca="1">NOW()</f>
        <v>46010.527948148148</v>
      </c>
    </row>
    <row r="2" spans="1:13" s="186" customFormat="1">
      <c r="A2" s="185"/>
      <c r="C2" s="187"/>
      <c r="D2" s="188"/>
      <c r="E2" s="188"/>
      <c r="F2" s="188"/>
      <c r="G2" s="188"/>
      <c r="H2" s="188"/>
      <c r="I2" s="189"/>
      <c r="K2" s="190" t="s">
        <v>1</v>
      </c>
    </row>
    <row r="4" spans="1:13" s="192" customFormat="1">
      <c r="A4" s="191">
        <v>1</v>
      </c>
      <c r="B4" s="192" t="s">
        <v>2</v>
      </c>
      <c r="D4" s="193"/>
      <c r="E4" s="193"/>
      <c r="F4" s="193"/>
      <c r="G4" s="193"/>
      <c r="H4" s="193"/>
    </row>
    <row r="5" spans="1:13">
      <c r="A5" s="194"/>
      <c r="B5" s="194"/>
    </row>
    <row r="6" spans="1:13" ht="15">
      <c r="B6" s="195" t="s">
        <v>241</v>
      </c>
      <c r="L6" s="196"/>
      <c r="M6" s="196"/>
    </row>
    <row r="7" spans="1:13">
      <c r="L7" s="196"/>
      <c r="M7" s="196"/>
    </row>
    <row r="8" spans="1:13" s="197" customFormat="1" ht="18.600000000000001" customHeight="1">
      <c r="B8" s="198" t="s">
        <v>4</v>
      </c>
      <c r="C8" s="199" t="s">
        <v>5</v>
      </c>
      <c r="D8" s="200" t="s">
        <v>242</v>
      </c>
      <c r="E8" s="200" t="s">
        <v>243</v>
      </c>
      <c r="F8" s="201"/>
      <c r="G8" s="201"/>
      <c r="H8" s="201"/>
    </row>
    <row r="9" spans="1:13" s="197" customFormat="1" ht="26.1" customHeight="1">
      <c r="B9" s="202">
        <v>1</v>
      </c>
      <c r="C9" s="203" t="s">
        <v>244</v>
      </c>
      <c r="F9" s="204"/>
      <c r="G9" s="201"/>
      <c r="H9" s="201"/>
    </row>
    <row r="10" spans="1:13" s="197" customFormat="1" ht="26.1" customHeight="1">
      <c r="B10" s="205">
        <v>2</v>
      </c>
      <c r="C10" s="206" t="s">
        <v>245</v>
      </c>
      <c r="D10"/>
      <c r="E10" s="207"/>
      <c r="F10" s="201"/>
      <c r="G10" s="201"/>
      <c r="H10" s="201"/>
    </row>
    <row r="11" spans="1:13" s="197" customFormat="1" ht="26.1" customHeight="1">
      <c r="B11" s="205">
        <v>3</v>
      </c>
      <c r="C11" s="206" t="s">
        <v>246</v>
      </c>
      <c r="F11" s="201"/>
      <c r="G11" s="201"/>
      <c r="H11" s="201"/>
    </row>
    <row r="12" spans="1:13" s="197" customFormat="1" ht="24.75">
      <c r="B12" s="205">
        <v>4</v>
      </c>
      <c r="C12" s="206" t="s">
        <v>247</v>
      </c>
      <c r="D12" s="208"/>
      <c r="E12" s="209"/>
      <c r="F12" s="201"/>
      <c r="G12" s="201"/>
      <c r="H12" s="201"/>
    </row>
    <row r="13" spans="1:13" s="197" customFormat="1" ht="36.75">
      <c r="B13" s="205">
        <v>5</v>
      </c>
      <c r="C13" s="206" t="s">
        <v>248</v>
      </c>
      <c r="D13" s="208"/>
      <c r="E13" s="210"/>
      <c r="F13" s="201"/>
      <c r="G13" s="201"/>
      <c r="H13" s="201"/>
    </row>
    <row r="14" spans="1:13" s="197" customFormat="1" ht="24.95">
      <c r="B14" s="211">
        <v>6</v>
      </c>
      <c r="C14" s="212" t="s">
        <v>249</v>
      </c>
      <c r="D14" s="213"/>
      <c r="F14" s="201"/>
      <c r="G14" s="201"/>
      <c r="H14" s="201"/>
    </row>
    <row r="15" spans="1:13">
      <c r="C15" s="214"/>
    </row>
    <row r="16" spans="1:13" s="192" customFormat="1">
      <c r="A16" s="191">
        <v>2</v>
      </c>
      <c r="B16" s="192" t="s">
        <v>70</v>
      </c>
      <c r="D16" s="193"/>
      <c r="E16" s="193"/>
      <c r="F16" s="193"/>
      <c r="G16" s="193"/>
      <c r="H16" s="193"/>
    </row>
    <row r="18" spans="3:11">
      <c r="D18" s="176"/>
      <c r="E18" s="237" t="s">
        <v>250</v>
      </c>
      <c r="F18" s="237"/>
      <c r="G18" s="237"/>
      <c r="H18" s="237"/>
      <c r="I18" s="238"/>
      <c r="J18" s="235" t="s">
        <v>251</v>
      </c>
      <c r="K18" s="236"/>
    </row>
    <row r="19" spans="3:11" s="197" customFormat="1" ht="29.45" customHeight="1">
      <c r="C19" s="215" t="s">
        <v>22</v>
      </c>
      <c r="D19" s="215" t="s">
        <v>23</v>
      </c>
      <c r="E19" s="216" t="s">
        <v>252</v>
      </c>
      <c r="F19" s="216" t="s">
        <v>253</v>
      </c>
      <c r="G19" s="216" t="s">
        <v>254</v>
      </c>
      <c r="H19" s="216" t="s">
        <v>255</v>
      </c>
      <c r="I19" s="217" t="s">
        <v>256</v>
      </c>
      <c r="J19" s="218" t="s">
        <v>257</v>
      </c>
      <c r="K19" s="218" t="s">
        <v>258</v>
      </c>
    </row>
    <row r="20" spans="3:11" s="197" customFormat="1" ht="13.5">
      <c r="C20" s="219" t="s">
        <v>31</v>
      </c>
      <c r="D20" s="220">
        <v>132840</v>
      </c>
      <c r="E20" s="221">
        <v>20.995200000000004</v>
      </c>
      <c r="F20" s="221">
        <v>11.664000000000001</v>
      </c>
      <c r="G20" s="221">
        <v>6.48</v>
      </c>
      <c r="H20" s="221">
        <v>12.3</v>
      </c>
      <c r="I20" s="222"/>
      <c r="J20" s="223"/>
      <c r="K20" s="223"/>
    </row>
    <row r="21" spans="3:11" s="197" customFormat="1" ht="13.5">
      <c r="C21" s="219" t="s">
        <v>35</v>
      </c>
      <c r="D21" s="224">
        <v>131887</v>
      </c>
      <c r="E21" s="221">
        <v>10.4</v>
      </c>
      <c r="F21" s="221">
        <v>17.600000000000001</v>
      </c>
      <c r="G21" s="221">
        <v>25.3</v>
      </c>
      <c r="H21" s="221">
        <v>30.36</v>
      </c>
      <c r="I21" s="222"/>
      <c r="J21" s="223"/>
      <c r="K21" s="223"/>
    </row>
    <row r="22" spans="3:11" s="197" customFormat="1" ht="13.5">
      <c r="C22" s="219" t="s">
        <v>37</v>
      </c>
      <c r="D22" s="224">
        <v>131850</v>
      </c>
      <c r="E22" s="221">
        <v>21.7</v>
      </c>
      <c r="F22" s="221">
        <v>7.9</v>
      </c>
      <c r="G22" s="221">
        <v>23</v>
      </c>
      <c r="H22" s="221">
        <v>11</v>
      </c>
      <c r="I22" s="222"/>
      <c r="J22" s="223"/>
      <c r="K22" s="223"/>
    </row>
    <row r="23" spans="3:11" s="197" customFormat="1" ht="13.5">
      <c r="C23" s="219" t="s">
        <v>32</v>
      </c>
      <c r="D23" s="224">
        <v>128630</v>
      </c>
      <c r="E23" s="221">
        <v>26.3</v>
      </c>
      <c r="F23" s="221">
        <v>9.4</v>
      </c>
      <c r="G23" s="221">
        <v>22.8</v>
      </c>
      <c r="H23" s="221">
        <v>32.200000000000003</v>
      </c>
      <c r="I23" s="222"/>
      <c r="J23" s="223"/>
      <c r="K23" s="223"/>
    </row>
    <row r="24" spans="3:11" s="197" customFormat="1" ht="13.5">
      <c r="C24" s="219" t="s">
        <v>41</v>
      </c>
      <c r="D24" s="224">
        <v>89440</v>
      </c>
      <c r="E24" s="221">
        <v>24</v>
      </c>
      <c r="F24" s="221">
        <v>21.5</v>
      </c>
      <c r="G24" s="221">
        <v>23.7</v>
      </c>
      <c r="H24" s="221">
        <v>18.399999999999999</v>
      </c>
      <c r="I24" s="222"/>
      <c r="J24" s="223"/>
      <c r="K24" s="223"/>
    </row>
    <row r="25" spans="3:11" s="197" customFormat="1" ht="13.5">
      <c r="C25" s="219" t="s">
        <v>36</v>
      </c>
      <c r="D25" s="224">
        <v>86593</v>
      </c>
      <c r="E25" s="221">
        <v>18.7</v>
      </c>
      <c r="F25" s="221">
        <v>8.1999999999999993</v>
      </c>
      <c r="G25" s="221">
        <v>34.6</v>
      </c>
      <c r="H25" s="221">
        <v>11.7</v>
      </c>
      <c r="I25" s="222"/>
      <c r="J25" s="223"/>
      <c r="K25" s="223"/>
    </row>
    <row r="26" spans="3:11" s="197" customFormat="1" ht="13.5">
      <c r="C26" s="219" t="s">
        <v>30</v>
      </c>
      <c r="D26" s="224">
        <v>61583</v>
      </c>
      <c r="E26" s="221">
        <v>23.4</v>
      </c>
      <c r="F26" s="221">
        <v>11.7</v>
      </c>
      <c r="G26" s="221">
        <v>12.9</v>
      </c>
      <c r="H26" s="221">
        <v>29.7</v>
      </c>
      <c r="I26" s="222"/>
      <c r="J26" s="223"/>
      <c r="K26" s="223"/>
    </row>
    <row r="27" spans="3:11" s="197" customFormat="1" ht="13.5">
      <c r="C27" s="219" t="s">
        <v>29</v>
      </c>
      <c r="D27" s="224">
        <v>53273</v>
      </c>
      <c r="E27" s="221">
        <v>21.2</v>
      </c>
      <c r="F27" s="221">
        <v>9.9</v>
      </c>
      <c r="G27" s="221">
        <v>19.3</v>
      </c>
      <c r="H27" s="221">
        <v>32.700000000000003</v>
      </c>
      <c r="I27" s="222"/>
      <c r="J27" s="223"/>
      <c r="K27" s="223"/>
    </row>
    <row r="28" spans="3:11" s="197" customFormat="1" ht="13.5">
      <c r="C28" s="219" t="s">
        <v>42</v>
      </c>
      <c r="D28" s="224">
        <v>52483</v>
      </c>
      <c r="E28" s="221">
        <v>4.5999999999999996</v>
      </c>
      <c r="F28" s="221">
        <v>38.24</v>
      </c>
      <c r="G28" s="221">
        <v>29.2</v>
      </c>
      <c r="H28" s="221">
        <v>34.299999999999997</v>
      </c>
      <c r="I28" s="222"/>
      <c r="J28" s="223"/>
      <c r="K28" s="223"/>
    </row>
    <row r="29" spans="3:11" s="197" customFormat="1" ht="13.5">
      <c r="C29" s="219" t="s">
        <v>34</v>
      </c>
      <c r="D29" s="224">
        <v>45853</v>
      </c>
      <c r="E29" s="221">
        <v>38.4</v>
      </c>
      <c r="F29" s="221">
        <v>21.1</v>
      </c>
      <c r="G29" s="221">
        <v>5.4</v>
      </c>
      <c r="H29" s="221">
        <v>27.3</v>
      </c>
      <c r="I29" s="222"/>
      <c r="J29" s="223"/>
      <c r="K29" s="223"/>
    </row>
    <row r="30" spans="3:11" s="197" customFormat="1" ht="13.5">
      <c r="C30" s="219" t="s">
        <v>38</v>
      </c>
      <c r="D30" s="224">
        <v>44303</v>
      </c>
      <c r="E30" s="221">
        <v>22.2</v>
      </c>
      <c r="F30" s="221">
        <v>28.9</v>
      </c>
      <c r="G30" s="221">
        <v>17.899999999999999</v>
      </c>
      <c r="H30" s="221">
        <v>31.9</v>
      </c>
      <c r="I30" s="222"/>
      <c r="J30" s="223"/>
      <c r="K30" s="223"/>
    </row>
    <row r="31" spans="3:11" s="197" customFormat="1" ht="13.5">
      <c r="C31" s="219" t="s">
        <v>39</v>
      </c>
      <c r="D31" s="224">
        <v>42793</v>
      </c>
      <c r="E31" s="221">
        <v>6.5</v>
      </c>
      <c r="F31" s="221">
        <v>25.9</v>
      </c>
      <c r="G31" s="221">
        <v>21.2</v>
      </c>
      <c r="H31" s="221">
        <v>23.2</v>
      </c>
      <c r="I31" s="222"/>
      <c r="J31" s="223"/>
      <c r="K31" s="223"/>
    </row>
    <row r="32" spans="3:11" s="197" customFormat="1" ht="13.5">
      <c r="C32" s="219" t="s">
        <v>33</v>
      </c>
      <c r="D32" s="224">
        <v>38597</v>
      </c>
      <c r="E32" s="221">
        <v>39.200000000000003</v>
      </c>
      <c r="F32" s="221">
        <v>42.4</v>
      </c>
      <c r="G32" s="221">
        <v>12.2</v>
      </c>
      <c r="H32" s="221">
        <v>37.299999999999997</v>
      </c>
      <c r="I32" s="222"/>
      <c r="J32" s="223"/>
      <c r="K32" s="223"/>
    </row>
    <row r="33" spans="1:11" s="197" customFormat="1" ht="13.5">
      <c r="C33" s="219" t="s">
        <v>40</v>
      </c>
      <c r="D33" s="224">
        <v>36850</v>
      </c>
      <c r="E33" s="221">
        <v>21.4</v>
      </c>
      <c r="F33" s="221">
        <v>21</v>
      </c>
      <c r="G33" s="221">
        <v>33.700000000000003</v>
      </c>
      <c r="H33" s="221">
        <v>13.4</v>
      </c>
      <c r="I33" s="222"/>
      <c r="J33" s="223"/>
      <c r="K33" s="223"/>
    </row>
    <row r="34" spans="1:11" s="197" customFormat="1" ht="13.5">
      <c r="C34" s="225"/>
      <c r="D34" s="226"/>
      <c r="E34" s="227"/>
      <c r="F34" s="227"/>
      <c r="G34" s="227"/>
      <c r="H34" s="227"/>
    </row>
    <row r="35" spans="1:11" s="192" customFormat="1">
      <c r="A35" s="191" t="s">
        <v>43</v>
      </c>
      <c r="B35" s="192" t="s">
        <v>44</v>
      </c>
      <c r="D35" s="193"/>
      <c r="E35" s="193"/>
      <c r="F35" s="193"/>
      <c r="G35" s="193"/>
      <c r="H35" s="193"/>
    </row>
  </sheetData>
  <mergeCells count="2">
    <mergeCell ref="J18:K18"/>
    <mergeCell ref="E18:I18"/>
  </mergeCells>
  <conditionalFormatting sqref="J20:J33">
    <cfRule type="cellIs" dxfId="35" priority="6" operator="equal">
      <formula>MIN(F20:H20)</formula>
    </cfRule>
  </conditionalFormatting>
  <conditionalFormatting sqref="K20:K33">
    <cfRule type="expression" dxfId="34" priority="3">
      <formula>ISBLANK($K20)</formula>
    </cfRule>
    <cfRule type="cellIs" dxfId="33" priority="4" operator="equal">
      <formula>J20-I20</formula>
    </cfRule>
  </conditionalFormatting>
  <conditionalFormatting sqref="I20:I33">
    <cfRule type="cellIs" dxfId="32" priority="1" operator="equal">
      <formula>MIN($E20:$H20)</formula>
    </cfRule>
  </conditionalFormatting>
  <conditionalFormatting sqref="D12:D14">
    <cfRule type="cellIs" dxfId="31" priority="8" operator="equal">
      <formula>#REF!</formula>
    </cfRule>
  </conditionalFormatting>
  <conditionalFormatting sqref="D14">
    <cfRule type="cellIs" dxfId="30" priority="10" operator="equal">
      <formula>#REF!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2E11C4E5-B6AC-422F-A53C-7FB100717372}">
            <xm:f>'3.1 Travel times - Solution'!$D12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D12:D14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FE01C-BBF1-44AF-83B2-CDD287523BDB}">
  <sheetPr>
    <tabColor theme="0"/>
  </sheetPr>
  <dimension ref="A1:Q40"/>
  <sheetViews>
    <sheetView showGridLines="0" zoomScaleNormal="100" workbookViewId="0">
      <selection activeCell="C2" sqref="C2"/>
    </sheetView>
  </sheetViews>
  <sheetFormatPr defaultColWidth="9" defaultRowHeight="14.1"/>
  <cols>
    <col min="1" max="1" width="3.625" style="1" customWidth="1"/>
    <col min="2" max="2" width="5.875" style="1" customWidth="1"/>
    <col min="3" max="3" width="55.75" style="1" bestFit="1" customWidth="1"/>
    <col min="4" max="8" width="23.875" style="20" customWidth="1"/>
    <col min="9" max="10" width="23.875" style="1" customWidth="1"/>
    <col min="11" max="13" width="24.25" style="1" customWidth="1"/>
    <col min="14" max="17" width="24.625" style="1" customWidth="1"/>
    <col min="18" max="16384" width="9" style="1"/>
  </cols>
  <sheetData>
    <row r="1" spans="1:13" s="7" customFormat="1" ht="19.5">
      <c r="A1" s="8"/>
      <c r="B1" s="1"/>
      <c r="C1" s="18" t="e">
        <f ca="1">MID(CELL("filename",A1),FIND("]",CELL("filename",A1))+1,LEN(CELL("filename",A1))-FIND("]",CELL("filename",A1)))</f>
        <v>#VALUE!</v>
      </c>
      <c r="D1" s="69"/>
      <c r="E1" s="70"/>
      <c r="F1" s="71" t="s">
        <v>0</v>
      </c>
      <c r="G1" s="72" t="e">
        <f ca="1">MID(CELL("filename",G1),FIND(" v",CELL("filename",G1))+1,FIND(".xls",CELL("filename",G1))-FIND(" v",CELL("filename",G1))-1)</f>
        <v>#VALUE!</v>
      </c>
      <c r="H1" s="73">
        <f ca="1">TODAY()</f>
        <v>46010</v>
      </c>
      <c r="I1" s="15">
        <f ca="1">NOW()</f>
        <v>46010.527948148148</v>
      </c>
    </row>
    <row r="2" spans="1:13" s="3" customFormat="1">
      <c r="A2" s="4"/>
      <c r="C2" s="19"/>
      <c r="D2" s="74"/>
      <c r="E2" s="74"/>
      <c r="F2" s="74"/>
      <c r="G2" s="74"/>
      <c r="H2" s="74"/>
      <c r="I2" s="17"/>
      <c r="K2" s="20" t="s">
        <v>1</v>
      </c>
    </row>
    <row r="4" spans="1:13" s="6" customFormat="1">
      <c r="A4" s="5">
        <v>1</v>
      </c>
      <c r="B4" s="6" t="s">
        <v>2</v>
      </c>
      <c r="D4" s="75"/>
      <c r="E4" s="75"/>
      <c r="F4" s="75"/>
      <c r="G4" s="75"/>
      <c r="H4" s="75"/>
    </row>
    <row r="5" spans="1:13">
      <c r="A5" s="2"/>
      <c r="B5" s="2"/>
    </row>
    <row r="6" spans="1:13" ht="15">
      <c r="B6" s="43" t="s">
        <v>259</v>
      </c>
      <c r="L6" s="9"/>
      <c r="M6" s="9"/>
    </row>
    <row r="7" spans="1:13">
      <c r="L7" s="9"/>
      <c r="M7" s="9"/>
    </row>
    <row r="8" spans="1:13" s="6" customFormat="1">
      <c r="A8" s="5">
        <v>2</v>
      </c>
      <c r="B8" s="6" t="s">
        <v>260</v>
      </c>
      <c r="D8" s="75"/>
      <c r="E8" s="75"/>
      <c r="F8" s="75"/>
      <c r="G8" s="75"/>
      <c r="H8" s="75"/>
    </row>
    <row r="9" spans="1:13" customFormat="1" ht="13.5"/>
    <row r="10" spans="1:13">
      <c r="C10" s="23"/>
      <c r="D10" s="162" t="s">
        <v>261</v>
      </c>
      <c r="E10" s="163" t="s">
        <v>262</v>
      </c>
      <c r="F10" s="164" t="s">
        <v>263</v>
      </c>
      <c r="G10" s="165" t="s">
        <v>264</v>
      </c>
    </row>
    <row r="11" spans="1:13">
      <c r="C11" s="155" t="s">
        <v>265</v>
      </c>
      <c r="D11" s="159"/>
      <c r="E11" s="159"/>
      <c r="F11" s="159"/>
      <c r="G11" s="159"/>
    </row>
    <row r="12" spans="1:13">
      <c r="C12" s="156" t="s">
        <v>266</v>
      </c>
      <c r="D12" s="160"/>
      <c r="E12" s="160"/>
      <c r="F12" s="160"/>
      <c r="G12" s="160"/>
    </row>
    <row r="13" spans="1:13">
      <c r="C13" s="154"/>
    </row>
    <row r="14" spans="1:13">
      <c r="C14" s="157" t="s">
        <v>267</v>
      </c>
      <c r="D14" s="159"/>
      <c r="E14" s="159"/>
      <c r="F14" s="159"/>
      <c r="G14" s="159"/>
    </row>
    <row r="15" spans="1:13">
      <c r="C15" s="156" t="s">
        <v>266</v>
      </c>
      <c r="D15" s="160"/>
      <c r="E15" s="160"/>
      <c r="F15" s="160"/>
      <c r="G15" s="160"/>
    </row>
    <row r="16" spans="1:13">
      <c r="C16" s="23"/>
    </row>
    <row r="17" spans="1:17">
      <c r="C17" s="157" t="s">
        <v>268</v>
      </c>
      <c r="D17" s="161"/>
      <c r="E17" s="161"/>
      <c r="F17" s="161"/>
      <c r="G17" s="161"/>
    </row>
    <row r="18" spans="1:17" ht="15" customHeight="1">
      <c r="C18" s="23"/>
    </row>
    <row r="19" spans="1:17" ht="15" customHeight="1">
      <c r="C19" s="166" t="s">
        <v>269</v>
      </c>
      <c r="D19" s="158"/>
      <c r="E19" s="158"/>
      <c r="F19" s="158"/>
      <c r="G19" s="158"/>
    </row>
    <row r="20" spans="1:17" ht="15" customHeight="1">
      <c r="C20" s="23"/>
    </row>
    <row r="21" spans="1:17" s="6" customFormat="1">
      <c r="A21" s="5">
        <v>3</v>
      </c>
      <c r="B21" s="6" t="s">
        <v>70</v>
      </c>
      <c r="D21" s="75"/>
      <c r="E21" s="75"/>
      <c r="F21" s="75"/>
      <c r="G21" s="75"/>
      <c r="H21" s="75"/>
    </row>
    <row r="23" spans="1:17">
      <c r="D23" s="1"/>
      <c r="E23" s="239" t="s">
        <v>250</v>
      </c>
      <c r="F23" s="239"/>
      <c r="G23" s="239"/>
      <c r="H23" s="239"/>
      <c r="I23"/>
      <c r="J23"/>
      <c r="K23"/>
      <c r="L23"/>
      <c r="M23"/>
      <c r="N23"/>
      <c r="O23"/>
      <c r="P23"/>
      <c r="Q23"/>
    </row>
    <row r="24" spans="1:17" customFormat="1" ht="29.45" customHeight="1">
      <c r="C24" s="76" t="s">
        <v>22</v>
      </c>
      <c r="D24" s="76" t="s">
        <v>23</v>
      </c>
      <c r="E24" s="66" t="s">
        <v>252</v>
      </c>
      <c r="F24" s="66" t="s">
        <v>253</v>
      </c>
      <c r="G24" s="66" t="s">
        <v>254</v>
      </c>
      <c r="H24" s="66" t="s">
        <v>255</v>
      </c>
    </row>
    <row r="25" spans="1:17" customFormat="1" ht="13.5">
      <c r="C25" s="55" t="s">
        <v>31</v>
      </c>
      <c r="D25" s="91">
        <v>132840</v>
      </c>
      <c r="E25" s="86">
        <v>20.995200000000004</v>
      </c>
      <c r="F25" s="86">
        <v>11.664000000000001</v>
      </c>
      <c r="G25" s="86">
        <v>6.48</v>
      </c>
      <c r="H25" s="86">
        <v>12.3</v>
      </c>
    </row>
    <row r="26" spans="1:17" customFormat="1" ht="13.5">
      <c r="C26" s="55" t="s">
        <v>35</v>
      </c>
      <c r="D26" s="87">
        <v>131887</v>
      </c>
      <c r="E26" s="86">
        <v>10.4</v>
      </c>
      <c r="F26" s="86">
        <v>17.600000000000001</v>
      </c>
      <c r="G26" s="86">
        <v>25.3</v>
      </c>
      <c r="H26" s="86">
        <v>30.36</v>
      </c>
    </row>
    <row r="27" spans="1:17" customFormat="1" ht="13.5">
      <c r="C27" s="55" t="s">
        <v>37</v>
      </c>
      <c r="D27" s="87">
        <v>131850</v>
      </c>
      <c r="E27" s="86">
        <v>21.7</v>
      </c>
      <c r="F27" s="86">
        <v>7.9</v>
      </c>
      <c r="G27" s="86">
        <v>23</v>
      </c>
      <c r="H27" s="86">
        <v>11</v>
      </c>
    </row>
    <row r="28" spans="1:17" customFormat="1" ht="13.5">
      <c r="C28" s="55" t="s">
        <v>32</v>
      </c>
      <c r="D28" s="87">
        <v>128630</v>
      </c>
      <c r="E28" s="86">
        <v>26.3</v>
      </c>
      <c r="F28" s="86">
        <v>9.4</v>
      </c>
      <c r="G28" s="86">
        <v>22.8</v>
      </c>
      <c r="H28" s="86">
        <v>32.200000000000003</v>
      </c>
    </row>
    <row r="29" spans="1:17" customFormat="1" ht="13.5">
      <c r="C29" s="55" t="s">
        <v>41</v>
      </c>
      <c r="D29" s="87">
        <v>89440</v>
      </c>
      <c r="E29" s="86">
        <v>24</v>
      </c>
      <c r="F29" s="86">
        <v>21.5</v>
      </c>
      <c r="G29" s="86">
        <v>23.7</v>
      </c>
      <c r="H29" s="86">
        <v>18.399999999999999</v>
      </c>
    </row>
    <row r="30" spans="1:17" customFormat="1" ht="13.5">
      <c r="C30" s="55" t="s">
        <v>36</v>
      </c>
      <c r="D30" s="87">
        <v>86593</v>
      </c>
      <c r="E30" s="86">
        <v>18.7</v>
      </c>
      <c r="F30" s="86">
        <v>8.1999999999999993</v>
      </c>
      <c r="G30" s="86">
        <v>34.6</v>
      </c>
      <c r="H30" s="86">
        <v>11.7</v>
      </c>
    </row>
    <row r="31" spans="1:17" customFormat="1" ht="13.5">
      <c r="C31" s="55" t="s">
        <v>30</v>
      </c>
      <c r="D31" s="87">
        <v>61583</v>
      </c>
      <c r="E31" s="86">
        <v>23.4</v>
      </c>
      <c r="F31" s="86">
        <v>11.7</v>
      </c>
      <c r="G31" s="86">
        <v>12.9</v>
      </c>
      <c r="H31" s="86">
        <v>29.7</v>
      </c>
    </row>
    <row r="32" spans="1:17" customFormat="1" ht="13.5">
      <c r="C32" s="55" t="s">
        <v>29</v>
      </c>
      <c r="D32" s="87">
        <v>53273</v>
      </c>
      <c r="E32" s="86">
        <v>21.2</v>
      </c>
      <c r="F32" s="86">
        <v>9.9</v>
      </c>
      <c r="G32" s="86">
        <v>19.3</v>
      </c>
      <c r="H32" s="86">
        <v>32.700000000000003</v>
      </c>
    </row>
    <row r="33" spans="1:17" customFormat="1" ht="13.5">
      <c r="C33" s="55" t="s">
        <v>42</v>
      </c>
      <c r="D33" s="87">
        <v>52483</v>
      </c>
      <c r="E33" s="86">
        <v>4.5999999999999996</v>
      </c>
      <c r="F33" s="86">
        <v>38.24</v>
      </c>
      <c r="G33" s="86">
        <v>29.2</v>
      </c>
      <c r="H33" s="86">
        <v>34.299999999999997</v>
      </c>
    </row>
    <row r="34" spans="1:17" customFormat="1" ht="13.5">
      <c r="C34" s="55" t="s">
        <v>34</v>
      </c>
      <c r="D34" s="87">
        <v>45853</v>
      </c>
      <c r="E34" s="86">
        <v>38.4</v>
      </c>
      <c r="F34" s="86">
        <v>21.1</v>
      </c>
      <c r="G34" s="86">
        <v>5.4</v>
      </c>
      <c r="H34" s="86">
        <v>27.3</v>
      </c>
    </row>
    <row r="35" spans="1:17" customFormat="1" ht="13.5">
      <c r="C35" s="55" t="s">
        <v>38</v>
      </c>
      <c r="D35" s="87">
        <v>44303</v>
      </c>
      <c r="E35" s="86">
        <v>22.2</v>
      </c>
      <c r="F35" s="86">
        <v>28.9</v>
      </c>
      <c r="G35" s="86">
        <v>17.899999999999999</v>
      </c>
      <c r="H35" s="86">
        <v>31.9</v>
      </c>
    </row>
    <row r="36" spans="1:17" customFormat="1" ht="13.5">
      <c r="C36" s="55" t="s">
        <v>39</v>
      </c>
      <c r="D36" s="87">
        <v>42793</v>
      </c>
      <c r="E36" s="86">
        <v>6.5</v>
      </c>
      <c r="F36" s="86">
        <v>25.9</v>
      </c>
      <c r="G36" s="86">
        <v>21.2</v>
      </c>
      <c r="H36" s="86">
        <v>23.2</v>
      </c>
    </row>
    <row r="37" spans="1:17" customFormat="1" ht="13.5">
      <c r="C37" s="55" t="s">
        <v>33</v>
      </c>
      <c r="D37" s="87">
        <v>38597</v>
      </c>
      <c r="E37" s="86">
        <v>39.200000000000003</v>
      </c>
      <c r="F37" s="86">
        <v>42.4</v>
      </c>
      <c r="G37" s="86">
        <v>12.2</v>
      </c>
      <c r="H37" s="86">
        <v>37.299999999999997</v>
      </c>
    </row>
    <row r="38" spans="1:17" customFormat="1" ht="13.5">
      <c r="C38" s="55" t="s">
        <v>40</v>
      </c>
      <c r="D38" s="87">
        <v>36850</v>
      </c>
      <c r="E38" s="86">
        <v>21.4</v>
      </c>
      <c r="F38" s="86">
        <v>21</v>
      </c>
      <c r="G38" s="86">
        <v>33.700000000000003</v>
      </c>
      <c r="H38" s="86">
        <v>13.4</v>
      </c>
    </row>
    <row r="39" spans="1:17" customFormat="1" ht="13.5">
      <c r="C39" s="62"/>
      <c r="D39" s="89"/>
      <c r="E39" s="90"/>
      <c r="F39" s="90"/>
      <c r="G39" s="90"/>
      <c r="H39" s="90"/>
      <c r="I39" s="88"/>
      <c r="J39" s="65"/>
      <c r="K39" s="65"/>
      <c r="L39" s="65"/>
      <c r="M39" s="65"/>
      <c r="N39" s="65"/>
      <c r="O39" s="65"/>
      <c r="P39" s="65"/>
      <c r="Q39" s="65"/>
    </row>
    <row r="40" spans="1:17" s="6" customFormat="1">
      <c r="A40" s="5" t="s">
        <v>43</v>
      </c>
      <c r="B40" s="6" t="s">
        <v>44</v>
      </c>
      <c r="D40" s="75"/>
      <c r="E40" s="75"/>
      <c r="F40" s="75"/>
      <c r="G40" s="75"/>
      <c r="H40" s="75"/>
    </row>
  </sheetData>
  <mergeCells count="1">
    <mergeCell ref="E23:H23"/>
  </mergeCells>
  <conditionalFormatting sqref="D19:G19">
    <cfRule type="containsText" dxfId="28" priority="1" operator="containsText" text="True">
      <formula>NOT(ISERROR(SEARCH("True",D19)))</formula>
    </cfRule>
    <cfRule type="containsText" dxfId="27" priority="2" operator="containsText" text="false">
      <formula>NOT(ISERROR(SEARCH("false",D19)))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2D1B5-EF80-4459-ADF9-E476A7C89146}">
  <sheetPr>
    <tabColor theme="2"/>
  </sheetPr>
  <dimension ref="A1:Q36"/>
  <sheetViews>
    <sheetView showGridLines="0" topLeftCell="A9" zoomScale="110" zoomScaleNormal="115" workbookViewId="0">
      <selection activeCell="D9" sqref="D9"/>
    </sheetView>
  </sheetViews>
  <sheetFormatPr defaultColWidth="9" defaultRowHeight="14.1"/>
  <cols>
    <col min="1" max="1" width="3.625" style="1" customWidth="1"/>
    <col min="2" max="2" width="5.875" style="1" customWidth="1"/>
    <col min="3" max="3" width="55.75" style="1" bestFit="1" customWidth="1"/>
    <col min="4" max="8" width="23.875" style="20" customWidth="1"/>
    <col min="9" max="10" width="23.875" style="1" customWidth="1"/>
    <col min="11" max="13" width="24.25" style="1" customWidth="1"/>
    <col min="14" max="17" width="24.625" style="1" customWidth="1"/>
    <col min="18" max="16384" width="9" style="1"/>
  </cols>
  <sheetData>
    <row r="1" spans="1:11" s="7" customFormat="1" ht="19.5">
      <c r="A1" s="8" t="s">
        <v>45</v>
      </c>
      <c r="B1" s="1"/>
      <c r="C1" s="18" t="e">
        <f ca="1">MID(CELL("filename",A1),FIND("]",CELL("filename",A1))+1,LEN(CELL("filename",A1))-FIND("]",CELL("filename",A1)))</f>
        <v>#VALUE!</v>
      </c>
      <c r="D1" s="69"/>
      <c r="E1" s="70"/>
      <c r="F1" s="71" t="s">
        <v>0</v>
      </c>
      <c r="G1" s="72" t="e">
        <f ca="1">MID(CELL("filename",G1),FIND(" v",CELL("filename",G1))+1,FIND(".xls",CELL("filename",G1))-FIND(" v",CELL("filename",G1))-1)</f>
        <v>#VALUE!</v>
      </c>
      <c r="H1" s="73">
        <f ca="1">TODAY()</f>
        <v>46010</v>
      </c>
      <c r="I1" s="15">
        <f ca="1">NOW()</f>
        <v>46010.527948148148</v>
      </c>
    </row>
    <row r="2" spans="1:11" s="3" customFormat="1">
      <c r="A2" s="4"/>
      <c r="C2" s="19" t="s">
        <v>46</v>
      </c>
      <c r="D2" s="74"/>
      <c r="E2" s="74"/>
      <c r="F2" s="74"/>
      <c r="G2" s="74"/>
      <c r="H2" s="74"/>
      <c r="I2" s="17"/>
      <c r="K2" s="20" t="s">
        <v>1</v>
      </c>
    </row>
    <row r="4" spans="1:11" s="6" customFormat="1">
      <c r="A4" s="5">
        <v>1</v>
      </c>
      <c r="B4" s="6" t="s">
        <v>260</v>
      </c>
      <c r="D4" s="75"/>
      <c r="E4" s="75"/>
      <c r="F4" s="75"/>
      <c r="G4" s="75"/>
      <c r="H4" s="75"/>
    </row>
    <row r="5" spans="1:11" customFormat="1" ht="13.5"/>
    <row r="6" spans="1:11">
      <c r="C6" s="23"/>
      <c r="D6" s="162" t="s">
        <v>261</v>
      </c>
      <c r="E6" s="163" t="s">
        <v>262</v>
      </c>
      <c r="F6" s="164" t="s">
        <v>263</v>
      </c>
      <c r="G6" s="165" t="s">
        <v>264</v>
      </c>
      <c r="I6" s="228" t="s">
        <v>243</v>
      </c>
    </row>
    <row r="7" spans="1:11">
      <c r="C7" s="155" t="s">
        <v>265</v>
      </c>
      <c r="D7" s="159">
        <f>SUMIF($K$21:$K$34,$I$7,$D$21:$D$34)</f>
        <v>227163</v>
      </c>
      <c r="E7" s="159">
        <f>SUMIF($M$21:$M$34,I7,$D$21:$D$34)</f>
        <v>461929</v>
      </c>
      <c r="F7" s="159">
        <f>SUMIF($O$21:$O$34,I7,$D$21:$D$34)</f>
        <v>261593</v>
      </c>
      <c r="G7" s="159">
        <f>SUMIF($Q$21:$Q$34,I7,$D$21:$D$34)</f>
        <v>126290</v>
      </c>
      <c r="I7" s="229" t="s">
        <v>270</v>
      </c>
    </row>
    <row r="8" spans="1:11">
      <c r="C8" s="156" t="s">
        <v>266</v>
      </c>
      <c r="D8" s="160">
        <f>D7/SUM($D$21:$D$34)</f>
        <v>0.21092690173866618</v>
      </c>
      <c r="E8" s="160">
        <f>E7/SUM($D$21:$D$34)</f>
        <v>0.42891339167575848</v>
      </c>
      <c r="F8" s="160">
        <f>F7/SUM($D$21:$D$34)</f>
        <v>0.24289607465354349</v>
      </c>
      <c r="G8" s="160">
        <f>G7/SUM($D$21:$D$34)</f>
        <v>0.11726363193203185</v>
      </c>
    </row>
    <row r="9" spans="1:11">
      <c r="C9" s="154"/>
    </row>
    <row r="10" spans="1:11">
      <c r="C10" s="157" t="s">
        <v>267</v>
      </c>
      <c r="D10" s="159">
        <f>SUMIF($K$21:$K$34,I10,$D$21:$D$34)</f>
        <v>95276</v>
      </c>
      <c r="E10" s="159">
        <f>SUMIF($M$21:$M$34,I10,$D$21:$D$34)</f>
        <v>128630</v>
      </c>
      <c r="F10" s="159">
        <f>SUMIF($O$21:$O$34,I10,$D$21:$D$34)</f>
        <v>84450</v>
      </c>
      <c r="G10" s="159">
        <f>SUMIF($Q$21:$Q$34,I10,$D$21:$D$34)</f>
        <v>0</v>
      </c>
      <c r="I10" s="229" t="s">
        <v>271</v>
      </c>
    </row>
    <row r="11" spans="1:11">
      <c r="C11" s="156" t="s">
        <v>266</v>
      </c>
      <c r="D11" s="160">
        <f>D10/SUM($D$21:$D$34)</f>
        <v>8.8466306088813576E-2</v>
      </c>
      <c r="E11" s="160">
        <f>E10/SUM($D$21:$D$34)</f>
        <v>0.1194363843171847</v>
      </c>
      <c r="F11" s="160">
        <f>F10/SUM($D$21:$D$34)</f>
        <v>7.8414076464170479E-2</v>
      </c>
      <c r="G11" s="160">
        <f>G10/SUM($D$21:$D$34)</f>
        <v>0</v>
      </c>
    </row>
    <row r="12" spans="1:11">
      <c r="C12" s="23"/>
    </row>
    <row r="13" spans="1:11">
      <c r="C13" s="157" t="s">
        <v>268</v>
      </c>
      <c r="D13" s="161">
        <f>MAX(K21:K34)</f>
        <v>24.6</v>
      </c>
      <c r="E13" s="161">
        <f>MAX(M21:M34)</f>
        <v>13.4</v>
      </c>
      <c r="F13" s="161">
        <f>MAX(O21:O34)</f>
        <v>25.099999999999998</v>
      </c>
      <c r="G13" s="161">
        <f>MAX(Q21:Q34)</f>
        <v>7.6</v>
      </c>
    </row>
    <row r="14" spans="1:11" ht="15" customHeight="1">
      <c r="C14" s="23"/>
    </row>
    <row r="15" spans="1:11" ht="15" customHeight="1">
      <c r="C15" s="166" t="s">
        <v>269</v>
      </c>
      <c r="D15" s="158" t="b">
        <f>D10&lt;D7</f>
        <v>1</v>
      </c>
      <c r="E15" s="158" t="b">
        <f t="shared" ref="E15:F15" si="0">E10&lt;E7</f>
        <v>1</v>
      </c>
      <c r="F15" s="158" t="b">
        <f t="shared" si="0"/>
        <v>1</v>
      </c>
      <c r="G15" s="158" t="b">
        <f>G10&lt;G7</f>
        <v>1</v>
      </c>
    </row>
    <row r="16" spans="1:11" ht="15" customHeight="1">
      <c r="C16" s="23"/>
    </row>
    <row r="17" spans="1:17" s="6" customFormat="1">
      <c r="A17" s="5">
        <v>3</v>
      </c>
      <c r="B17" s="6" t="s">
        <v>70</v>
      </c>
      <c r="D17" s="75"/>
      <c r="E17" s="75"/>
      <c r="F17" s="75"/>
      <c r="G17" s="75"/>
      <c r="H17" s="75"/>
    </row>
    <row r="19" spans="1:17">
      <c r="D19" s="1"/>
      <c r="E19" s="239" t="s">
        <v>250</v>
      </c>
      <c r="F19" s="239"/>
      <c r="G19" s="239"/>
      <c r="H19" s="239"/>
      <c r="I19" s="246"/>
      <c r="J19" s="247" t="s">
        <v>251</v>
      </c>
      <c r="K19" s="248"/>
      <c r="L19" s="240" t="s">
        <v>272</v>
      </c>
      <c r="M19" s="241"/>
      <c r="N19" s="242" t="s">
        <v>273</v>
      </c>
      <c r="O19" s="243"/>
      <c r="P19" s="244" t="s">
        <v>274</v>
      </c>
      <c r="Q19" s="245"/>
    </row>
    <row r="20" spans="1:17" customFormat="1" ht="29.45" customHeight="1">
      <c r="C20" s="76" t="s">
        <v>22</v>
      </c>
      <c r="D20" s="76" t="s">
        <v>23</v>
      </c>
      <c r="E20" s="66" t="s">
        <v>252</v>
      </c>
      <c r="F20" s="66" t="s">
        <v>253</v>
      </c>
      <c r="G20" s="66" t="s">
        <v>254</v>
      </c>
      <c r="H20" s="66" t="s">
        <v>255</v>
      </c>
      <c r="I20" s="68" t="s">
        <v>256</v>
      </c>
      <c r="J20" s="67" t="s">
        <v>257</v>
      </c>
      <c r="K20" s="67" t="s">
        <v>258</v>
      </c>
      <c r="L20" s="80" t="s">
        <v>275</v>
      </c>
      <c r="M20" s="80" t="s">
        <v>258</v>
      </c>
      <c r="N20" s="81" t="s">
        <v>276</v>
      </c>
      <c r="O20" s="81" t="s">
        <v>258</v>
      </c>
      <c r="P20" s="82" t="s">
        <v>277</v>
      </c>
      <c r="Q20" s="82" t="s">
        <v>258</v>
      </c>
    </row>
    <row r="21" spans="1:17" customFormat="1" ht="13.5">
      <c r="C21" s="55" t="s">
        <v>31</v>
      </c>
      <c r="D21" s="91">
        <v>132840</v>
      </c>
      <c r="E21" s="86">
        <v>20.995200000000004</v>
      </c>
      <c r="F21" s="86">
        <v>11.664000000000001</v>
      </c>
      <c r="G21" s="86">
        <v>6.48</v>
      </c>
      <c r="H21" s="86">
        <v>12.3</v>
      </c>
      <c r="I21" s="79">
        <f t="shared" ref="I21:I34" si="1">MIN(E21:H21)</f>
        <v>6.48</v>
      </c>
      <c r="J21" s="61">
        <f t="shared" ref="J21:J34" si="2">MIN(F21:H21)</f>
        <v>6.48</v>
      </c>
      <c r="K21" s="61">
        <f t="shared" ref="K21:K34" si="3">J21-I21</f>
        <v>0</v>
      </c>
      <c r="L21" s="61">
        <f t="shared" ref="L21:L34" si="4">MIN(E21,G21:H21)</f>
        <v>6.48</v>
      </c>
      <c r="M21" s="61">
        <f t="shared" ref="M21:M34" si="5">L21-I21</f>
        <v>0</v>
      </c>
      <c r="N21" s="61">
        <f t="shared" ref="N21:N34" si="6">MIN(H21,E21:F21)</f>
        <v>11.664000000000001</v>
      </c>
      <c r="O21" s="61">
        <f t="shared" ref="O21:O34" si="7">N21-I21</f>
        <v>5.1840000000000011</v>
      </c>
      <c r="P21" s="61">
        <f t="shared" ref="P21:P34" si="8">MIN(E21:G21)</f>
        <v>6.48</v>
      </c>
      <c r="Q21" s="61">
        <f t="shared" ref="Q21:Q34" si="9">P21-I21</f>
        <v>0</v>
      </c>
    </row>
    <row r="22" spans="1:17" customFormat="1" ht="13.5">
      <c r="C22" s="55" t="s">
        <v>35</v>
      </c>
      <c r="D22" s="87">
        <v>131887</v>
      </c>
      <c r="E22" s="86">
        <v>10.4</v>
      </c>
      <c r="F22" s="86">
        <v>17.600000000000001</v>
      </c>
      <c r="G22" s="86">
        <v>25.3</v>
      </c>
      <c r="H22" s="86">
        <v>30.36</v>
      </c>
      <c r="I22" s="79">
        <f t="shared" si="1"/>
        <v>10.4</v>
      </c>
      <c r="J22" s="61">
        <f t="shared" si="2"/>
        <v>17.600000000000001</v>
      </c>
      <c r="K22" s="61">
        <f t="shared" si="3"/>
        <v>7.2000000000000011</v>
      </c>
      <c r="L22" s="61">
        <f t="shared" si="4"/>
        <v>10.4</v>
      </c>
      <c r="M22" s="61">
        <f t="shared" si="5"/>
        <v>0</v>
      </c>
      <c r="N22" s="61">
        <f t="shared" si="6"/>
        <v>10.4</v>
      </c>
      <c r="O22" s="61">
        <f t="shared" si="7"/>
        <v>0</v>
      </c>
      <c r="P22" s="61">
        <f t="shared" si="8"/>
        <v>10.4</v>
      </c>
      <c r="Q22" s="61">
        <f t="shared" si="9"/>
        <v>0</v>
      </c>
    </row>
    <row r="23" spans="1:17" customFormat="1" ht="13.5">
      <c r="C23" s="55" t="s">
        <v>37</v>
      </c>
      <c r="D23" s="87">
        <v>131850</v>
      </c>
      <c r="E23" s="86">
        <v>21.7</v>
      </c>
      <c r="F23" s="86">
        <v>7.9</v>
      </c>
      <c r="G23" s="86">
        <v>23</v>
      </c>
      <c r="H23" s="86">
        <v>11</v>
      </c>
      <c r="I23" s="79">
        <f t="shared" si="1"/>
        <v>7.9</v>
      </c>
      <c r="J23" s="61">
        <f t="shared" si="2"/>
        <v>7.9</v>
      </c>
      <c r="K23" s="61">
        <f t="shared" si="3"/>
        <v>0</v>
      </c>
      <c r="L23" s="61">
        <f t="shared" si="4"/>
        <v>11</v>
      </c>
      <c r="M23" s="61">
        <f t="shared" si="5"/>
        <v>3.0999999999999996</v>
      </c>
      <c r="N23" s="61">
        <f t="shared" si="6"/>
        <v>7.9</v>
      </c>
      <c r="O23" s="61">
        <f t="shared" si="7"/>
        <v>0</v>
      </c>
      <c r="P23" s="61">
        <f t="shared" si="8"/>
        <v>7.9</v>
      </c>
      <c r="Q23" s="61">
        <f t="shared" si="9"/>
        <v>0</v>
      </c>
    </row>
    <row r="24" spans="1:17" customFormat="1" ht="13.5">
      <c r="C24" s="55" t="s">
        <v>32</v>
      </c>
      <c r="D24" s="87">
        <v>128630</v>
      </c>
      <c r="E24" s="86">
        <v>26.3</v>
      </c>
      <c r="F24" s="86">
        <v>9.4</v>
      </c>
      <c r="G24" s="86">
        <v>22.8</v>
      </c>
      <c r="H24" s="86">
        <v>32.200000000000003</v>
      </c>
      <c r="I24" s="79">
        <f t="shared" si="1"/>
        <v>9.4</v>
      </c>
      <c r="J24" s="61">
        <f t="shared" si="2"/>
        <v>9.4</v>
      </c>
      <c r="K24" s="61">
        <f t="shared" si="3"/>
        <v>0</v>
      </c>
      <c r="L24" s="61">
        <f t="shared" si="4"/>
        <v>22.8</v>
      </c>
      <c r="M24" s="61">
        <f t="shared" si="5"/>
        <v>13.4</v>
      </c>
      <c r="N24" s="61">
        <f t="shared" si="6"/>
        <v>9.4</v>
      </c>
      <c r="O24" s="61">
        <f t="shared" si="7"/>
        <v>0</v>
      </c>
      <c r="P24" s="61">
        <f t="shared" si="8"/>
        <v>9.4</v>
      </c>
      <c r="Q24" s="61">
        <f t="shared" si="9"/>
        <v>0</v>
      </c>
    </row>
    <row r="25" spans="1:17" customFormat="1" ht="13.5">
      <c r="C25" s="55" t="s">
        <v>41</v>
      </c>
      <c r="D25" s="87">
        <v>89440</v>
      </c>
      <c r="E25" s="86">
        <v>24</v>
      </c>
      <c r="F25" s="86">
        <v>21.5</v>
      </c>
      <c r="G25" s="86">
        <v>23.7</v>
      </c>
      <c r="H25" s="86">
        <v>18.399999999999999</v>
      </c>
      <c r="I25" s="79">
        <f t="shared" si="1"/>
        <v>18.399999999999999</v>
      </c>
      <c r="J25" s="61">
        <f t="shared" si="2"/>
        <v>18.399999999999999</v>
      </c>
      <c r="K25" s="61">
        <f t="shared" si="3"/>
        <v>0</v>
      </c>
      <c r="L25" s="61">
        <f t="shared" si="4"/>
        <v>18.399999999999999</v>
      </c>
      <c r="M25" s="61">
        <f t="shared" si="5"/>
        <v>0</v>
      </c>
      <c r="N25" s="61">
        <f t="shared" si="6"/>
        <v>18.399999999999999</v>
      </c>
      <c r="O25" s="61">
        <f t="shared" si="7"/>
        <v>0</v>
      </c>
      <c r="P25" s="61">
        <f t="shared" si="8"/>
        <v>21.5</v>
      </c>
      <c r="Q25" s="61">
        <f t="shared" si="9"/>
        <v>3.1000000000000014</v>
      </c>
    </row>
    <row r="26" spans="1:17" customFormat="1" ht="13.5">
      <c r="C26" s="55" t="s">
        <v>36</v>
      </c>
      <c r="D26" s="87">
        <v>86593</v>
      </c>
      <c r="E26" s="86">
        <v>18.7</v>
      </c>
      <c r="F26" s="86">
        <v>8.1999999999999993</v>
      </c>
      <c r="G26" s="86">
        <v>34.6</v>
      </c>
      <c r="H26" s="86">
        <v>11.7</v>
      </c>
      <c r="I26" s="79">
        <f t="shared" si="1"/>
        <v>8.1999999999999993</v>
      </c>
      <c r="J26" s="61">
        <f t="shared" si="2"/>
        <v>8.1999999999999993</v>
      </c>
      <c r="K26" s="61">
        <f t="shared" si="3"/>
        <v>0</v>
      </c>
      <c r="L26" s="61">
        <f t="shared" si="4"/>
        <v>11.7</v>
      </c>
      <c r="M26" s="61">
        <f t="shared" si="5"/>
        <v>3.5</v>
      </c>
      <c r="N26" s="61">
        <f t="shared" si="6"/>
        <v>8.1999999999999993</v>
      </c>
      <c r="O26" s="61">
        <f t="shared" si="7"/>
        <v>0</v>
      </c>
      <c r="P26" s="61">
        <f t="shared" si="8"/>
        <v>8.1999999999999993</v>
      </c>
      <c r="Q26" s="61">
        <f t="shared" si="9"/>
        <v>0</v>
      </c>
    </row>
    <row r="27" spans="1:17" customFormat="1" ht="13.5">
      <c r="C27" s="55" t="s">
        <v>30</v>
      </c>
      <c r="D27" s="87">
        <v>61583</v>
      </c>
      <c r="E27" s="86">
        <v>23.4</v>
      </c>
      <c r="F27" s="86">
        <v>11.7</v>
      </c>
      <c r="G27" s="86">
        <v>12.9</v>
      </c>
      <c r="H27" s="86">
        <v>29.7</v>
      </c>
      <c r="I27" s="79">
        <f t="shared" si="1"/>
        <v>11.7</v>
      </c>
      <c r="J27" s="61">
        <f t="shared" si="2"/>
        <v>11.7</v>
      </c>
      <c r="K27" s="61">
        <f t="shared" si="3"/>
        <v>0</v>
      </c>
      <c r="L27" s="61">
        <f t="shared" si="4"/>
        <v>12.9</v>
      </c>
      <c r="M27" s="61">
        <f t="shared" si="5"/>
        <v>1.2000000000000011</v>
      </c>
      <c r="N27" s="61">
        <f t="shared" si="6"/>
        <v>11.7</v>
      </c>
      <c r="O27" s="61">
        <f t="shared" si="7"/>
        <v>0</v>
      </c>
      <c r="P27" s="61">
        <f t="shared" si="8"/>
        <v>11.7</v>
      </c>
      <c r="Q27" s="61">
        <f t="shared" si="9"/>
        <v>0</v>
      </c>
    </row>
    <row r="28" spans="1:17" customFormat="1" ht="13.5">
      <c r="C28" s="55" t="s">
        <v>29</v>
      </c>
      <c r="D28" s="87">
        <v>53273</v>
      </c>
      <c r="E28" s="86">
        <v>21.2</v>
      </c>
      <c r="F28" s="86">
        <v>9.9</v>
      </c>
      <c r="G28" s="86">
        <v>19.3</v>
      </c>
      <c r="H28" s="86">
        <v>32.700000000000003</v>
      </c>
      <c r="I28" s="79">
        <f t="shared" si="1"/>
        <v>9.9</v>
      </c>
      <c r="J28" s="61">
        <f t="shared" si="2"/>
        <v>9.9</v>
      </c>
      <c r="K28" s="61">
        <f t="shared" si="3"/>
        <v>0</v>
      </c>
      <c r="L28" s="61">
        <f t="shared" si="4"/>
        <v>19.3</v>
      </c>
      <c r="M28" s="61">
        <f t="shared" si="5"/>
        <v>9.4</v>
      </c>
      <c r="N28" s="61">
        <f t="shared" si="6"/>
        <v>9.9</v>
      </c>
      <c r="O28" s="61">
        <f t="shared" si="7"/>
        <v>0</v>
      </c>
      <c r="P28" s="61">
        <f t="shared" si="8"/>
        <v>9.9</v>
      </c>
      <c r="Q28" s="61">
        <f t="shared" si="9"/>
        <v>0</v>
      </c>
    </row>
    <row r="29" spans="1:17" customFormat="1" ht="13.5">
      <c r="C29" s="55" t="s">
        <v>42</v>
      </c>
      <c r="D29" s="87">
        <v>52483</v>
      </c>
      <c r="E29" s="86">
        <v>4.5999999999999996</v>
      </c>
      <c r="F29" s="86">
        <v>38.24</v>
      </c>
      <c r="G29" s="86">
        <v>29.2</v>
      </c>
      <c r="H29" s="86">
        <v>34.299999999999997</v>
      </c>
      <c r="I29" s="79">
        <f t="shared" si="1"/>
        <v>4.5999999999999996</v>
      </c>
      <c r="J29" s="61">
        <f t="shared" si="2"/>
        <v>29.2</v>
      </c>
      <c r="K29" s="61">
        <f t="shared" si="3"/>
        <v>24.6</v>
      </c>
      <c r="L29" s="61">
        <f t="shared" si="4"/>
        <v>4.5999999999999996</v>
      </c>
      <c r="M29" s="61">
        <f t="shared" si="5"/>
        <v>0</v>
      </c>
      <c r="N29" s="61">
        <f t="shared" si="6"/>
        <v>4.5999999999999996</v>
      </c>
      <c r="O29" s="61">
        <f t="shared" si="7"/>
        <v>0</v>
      </c>
      <c r="P29" s="61">
        <f t="shared" si="8"/>
        <v>4.5999999999999996</v>
      </c>
      <c r="Q29" s="61">
        <f t="shared" si="9"/>
        <v>0</v>
      </c>
    </row>
    <row r="30" spans="1:17" customFormat="1" ht="13.5">
      <c r="C30" s="55" t="s">
        <v>34</v>
      </c>
      <c r="D30" s="87">
        <v>45853</v>
      </c>
      <c r="E30" s="86">
        <v>38.4</v>
      </c>
      <c r="F30" s="86">
        <v>21.1</v>
      </c>
      <c r="G30" s="86">
        <v>5.4</v>
      </c>
      <c r="H30" s="86">
        <v>27.3</v>
      </c>
      <c r="I30" s="79">
        <f t="shared" si="1"/>
        <v>5.4</v>
      </c>
      <c r="J30" s="61">
        <f t="shared" si="2"/>
        <v>5.4</v>
      </c>
      <c r="K30" s="61">
        <f t="shared" si="3"/>
        <v>0</v>
      </c>
      <c r="L30" s="61">
        <f t="shared" si="4"/>
        <v>5.4</v>
      </c>
      <c r="M30" s="61">
        <f t="shared" si="5"/>
        <v>0</v>
      </c>
      <c r="N30" s="61">
        <f t="shared" si="6"/>
        <v>21.1</v>
      </c>
      <c r="O30" s="61">
        <f t="shared" si="7"/>
        <v>15.700000000000001</v>
      </c>
      <c r="P30" s="61">
        <f t="shared" si="8"/>
        <v>5.4</v>
      </c>
      <c r="Q30" s="61">
        <f t="shared" si="9"/>
        <v>0</v>
      </c>
    </row>
    <row r="31" spans="1:17" customFormat="1" ht="13.5">
      <c r="C31" s="55" t="s">
        <v>38</v>
      </c>
      <c r="D31" s="87">
        <v>44303</v>
      </c>
      <c r="E31" s="86">
        <v>22.2</v>
      </c>
      <c r="F31" s="86">
        <v>28.9</v>
      </c>
      <c r="G31" s="86">
        <v>17.899999999999999</v>
      </c>
      <c r="H31" s="86">
        <v>31.9</v>
      </c>
      <c r="I31" s="79">
        <f t="shared" si="1"/>
        <v>17.899999999999999</v>
      </c>
      <c r="J31" s="61">
        <f t="shared" si="2"/>
        <v>17.899999999999999</v>
      </c>
      <c r="K31" s="61">
        <f t="shared" si="3"/>
        <v>0</v>
      </c>
      <c r="L31" s="61">
        <f t="shared" si="4"/>
        <v>17.899999999999999</v>
      </c>
      <c r="M31" s="61">
        <f t="shared" si="5"/>
        <v>0</v>
      </c>
      <c r="N31" s="61">
        <f t="shared" si="6"/>
        <v>22.2</v>
      </c>
      <c r="O31" s="61">
        <f t="shared" si="7"/>
        <v>4.3000000000000007</v>
      </c>
      <c r="P31" s="61">
        <f t="shared" si="8"/>
        <v>17.899999999999999</v>
      </c>
      <c r="Q31" s="61">
        <f t="shared" si="9"/>
        <v>0</v>
      </c>
    </row>
    <row r="32" spans="1:17" customFormat="1" ht="13.5">
      <c r="C32" s="55" t="s">
        <v>39</v>
      </c>
      <c r="D32" s="87">
        <v>42793</v>
      </c>
      <c r="E32" s="86">
        <v>6.5</v>
      </c>
      <c r="F32" s="86">
        <v>25.9</v>
      </c>
      <c r="G32" s="86">
        <v>21.2</v>
      </c>
      <c r="H32" s="86">
        <v>23.2</v>
      </c>
      <c r="I32" s="79">
        <f t="shared" si="1"/>
        <v>6.5</v>
      </c>
      <c r="J32" s="61">
        <f t="shared" si="2"/>
        <v>21.2</v>
      </c>
      <c r="K32" s="61">
        <f t="shared" si="3"/>
        <v>14.7</v>
      </c>
      <c r="L32" s="61">
        <f t="shared" si="4"/>
        <v>6.5</v>
      </c>
      <c r="M32" s="61">
        <f t="shared" si="5"/>
        <v>0</v>
      </c>
      <c r="N32" s="61">
        <f t="shared" si="6"/>
        <v>6.5</v>
      </c>
      <c r="O32" s="61">
        <f t="shared" si="7"/>
        <v>0</v>
      </c>
      <c r="P32" s="61">
        <f t="shared" si="8"/>
        <v>6.5</v>
      </c>
      <c r="Q32" s="61">
        <f t="shared" si="9"/>
        <v>0</v>
      </c>
    </row>
    <row r="33" spans="1:17" customFormat="1" ht="13.5">
      <c r="C33" s="55" t="s">
        <v>33</v>
      </c>
      <c r="D33" s="87">
        <v>38597</v>
      </c>
      <c r="E33" s="86">
        <v>39.200000000000003</v>
      </c>
      <c r="F33" s="86">
        <v>42.4</v>
      </c>
      <c r="G33" s="86">
        <v>12.2</v>
      </c>
      <c r="H33" s="86">
        <v>37.299999999999997</v>
      </c>
      <c r="I33" s="79">
        <f t="shared" si="1"/>
        <v>12.2</v>
      </c>
      <c r="J33" s="61">
        <f t="shared" si="2"/>
        <v>12.2</v>
      </c>
      <c r="K33" s="61">
        <f t="shared" si="3"/>
        <v>0</v>
      </c>
      <c r="L33" s="61">
        <f t="shared" si="4"/>
        <v>12.2</v>
      </c>
      <c r="M33" s="61">
        <f t="shared" si="5"/>
        <v>0</v>
      </c>
      <c r="N33" s="61">
        <f t="shared" si="6"/>
        <v>37.299999999999997</v>
      </c>
      <c r="O33" s="61">
        <f t="shared" si="7"/>
        <v>25.099999999999998</v>
      </c>
      <c r="P33" s="61">
        <f t="shared" si="8"/>
        <v>12.2</v>
      </c>
      <c r="Q33" s="61">
        <f t="shared" si="9"/>
        <v>0</v>
      </c>
    </row>
    <row r="34" spans="1:17" customFormat="1" ht="13.5">
      <c r="C34" s="55" t="s">
        <v>40</v>
      </c>
      <c r="D34" s="87">
        <v>36850</v>
      </c>
      <c r="E34" s="86">
        <v>21.4</v>
      </c>
      <c r="F34" s="86">
        <v>21</v>
      </c>
      <c r="G34" s="86">
        <v>33.700000000000003</v>
      </c>
      <c r="H34" s="86">
        <v>13.4</v>
      </c>
      <c r="I34" s="79">
        <f t="shared" si="1"/>
        <v>13.4</v>
      </c>
      <c r="J34" s="61">
        <f t="shared" si="2"/>
        <v>13.4</v>
      </c>
      <c r="K34" s="61">
        <f t="shared" si="3"/>
        <v>0</v>
      </c>
      <c r="L34" s="61">
        <f t="shared" si="4"/>
        <v>13.4</v>
      </c>
      <c r="M34" s="61">
        <f t="shared" si="5"/>
        <v>0</v>
      </c>
      <c r="N34" s="61">
        <f t="shared" si="6"/>
        <v>13.4</v>
      </c>
      <c r="O34" s="61">
        <f t="shared" si="7"/>
        <v>0</v>
      </c>
      <c r="P34" s="61">
        <f t="shared" si="8"/>
        <v>21</v>
      </c>
      <c r="Q34" s="61">
        <f t="shared" si="9"/>
        <v>7.6</v>
      </c>
    </row>
    <row r="35" spans="1:17" customFormat="1" ht="13.5">
      <c r="C35" s="62"/>
      <c r="D35" s="89"/>
      <c r="E35" s="90"/>
      <c r="F35" s="90"/>
      <c r="G35" s="90"/>
      <c r="H35" s="90"/>
      <c r="I35" s="88"/>
      <c r="J35" s="65"/>
      <c r="K35" s="65"/>
      <c r="L35" s="65"/>
      <c r="M35" s="65"/>
      <c r="N35" s="65"/>
      <c r="O35" s="65"/>
      <c r="P35" s="65"/>
      <c r="Q35" s="65"/>
    </row>
    <row r="36" spans="1:17" s="6" customFormat="1">
      <c r="A36" s="5" t="s">
        <v>43</v>
      </c>
      <c r="B36" s="6" t="s">
        <v>44</v>
      </c>
      <c r="D36" s="75"/>
      <c r="E36" s="75"/>
      <c r="F36" s="75"/>
      <c r="G36" s="75"/>
      <c r="H36" s="75"/>
    </row>
  </sheetData>
  <autoFilter ref="C20:Q20" xr:uid="{0D0AFAE7-AB16-4750-8A5A-1A69385FCA13}">
    <sortState xmlns:xlrd2="http://schemas.microsoft.com/office/spreadsheetml/2017/richdata2" ref="C21:Q34">
      <sortCondition descending="1" ref="D20"/>
    </sortState>
  </autoFilter>
  <mergeCells count="5">
    <mergeCell ref="L19:M19"/>
    <mergeCell ref="N19:O19"/>
    <mergeCell ref="P19:Q19"/>
    <mergeCell ref="E19:I19"/>
    <mergeCell ref="J19:K19"/>
  </mergeCells>
  <conditionalFormatting sqref="D15:G15">
    <cfRule type="containsText" dxfId="26" priority="2" operator="containsText" text="True">
      <formula>NOT(ISERROR(SEARCH("True",D15)))</formula>
    </cfRule>
    <cfRule type="containsText" dxfId="25" priority="3" operator="containsText" text="false">
      <formula>NOT(ISERROR(SEARCH("false",D15)))</formula>
    </cfRule>
  </conditionalFormatting>
  <hyperlinks>
    <hyperlink ref="A1" location="Index!B5" display="Index" xr:uid="{0626D4CA-76F4-4136-8C2E-C1BDED66665C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ED74-3836-4182-9D2B-64329AA4BF71}">
  <sheetPr>
    <tabColor theme="2"/>
  </sheetPr>
  <dimension ref="A1:M35"/>
  <sheetViews>
    <sheetView showGridLines="0" topLeftCell="C3" zoomScale="92" zoomScaleNormal="115" workbookViewId="0">
      <selection activeCell="I20" sqref="I20:K33"/>
    </sheetView>
  </sheetViews>
  <sheetFormatPr defaultColWidth="9" defaultRowHeight="14.1"/>
  <cols>
    <col min="1" max="1" width="3.625" style="176" customWidth="1"/>
    <col min="2" max="2" width="5.875" style="176" customWidth="1"/>
    <col min="3" max="3" width="53.25" style="176" bestFit="1" customWidth="1"/>
    <col min="4" max="8" width="16.375" style="190" customWidth="1"/>
    <col min="9" max="11" width="23.875" style="176" customWidth="1"/>
    <col min="12" max="13" width="9" style="176" customWidth="1"/>
    <col min="14" max="16384" width="9" style="176"/>
  </cols>
  <sheetData>
    <row r="1" spans="1:13" s="184" customFormat="1" ht="19.5">
      <c r="A1" s="175"/>
      <c r="B1" s="176"/>
      <c r="C1" s="177" t="e">
        <f ca="1">MID(CELL("filename",A1),FIND("]",CELL("filename",A1))+1,LEN(CELL("filename",A1))-FIND("]",CELL("filename",A1)))</f>
        <v>#VALUE!</v>
      </c>
      <c r="D1" s="178"/>
      <c r="E1" s="179"/>
      <c r="F1" s="180" t="s">
        <v>0</v>
      </c>
      <c r="G1" s="181" t="e">
        <f ca="1">MID(CELL("filename",G1),FIND(" v",CELL("filename",G1))+1,FIND(".xls",CELL("filename",G1))-FIND(" v",CELL("filename",G1))-1)</f>
        <v>#VALUE!</v>
      </c>
      <c r="H1" s="182">
        <f ca="1">TODAY()</f>
        <v>46010</v>
      </c>
      <c r="I1" s="183">
        <f ca="1">NOW()</f>
        <v>46010.527948148148</v>
      </c>
    </row>
    <row r="2" spans="1:13" s="186" customFormat="1">
      <c r="A2" s="185"/>
      <c r="C2" s="187" t="s">
        <v>46</v>
      </c>
      <c r="D2" s="188"/>
      <c r="E2" s="188"/>
      <c r="F2" s="188"/>
      <c r="G2" s="188"/>
      <c r="H2" s="188"/>
      <c r="I2" s="189"/>
      <c r="K2" s="190" t="s">
        <v>1</v>
      </c>
    </row>
    <row r="4" spans="1:13" s="192" customFormat="1">
      <c r="A4" s="191">
        <v>1</v>
      </c>
      <c r="B4" s="192" t="s">
        <v>2</v>
      </c>
      <c r="D4" s="193"/>
      <c r="E4" s="193"/>
      <c r="F4" s="193"/>
      <c r="G4" s="193"/>
      <c r="H4" s="193"/>
    </row>
    <row r="5" spans="1:13">
      <c r="A5" s="194"/>
      <c r="B5" s="194"/>
    </row>
    <row r="6" spans="1:13" ht="15">
      <c r="B6" s="195" t="s">
        <v>241</v>
      </c>
      <c r="L6" s="196"/>
      <c r="M6" s="196"/>
    </row>
    <row r="7" spans="1:13">
      <c r="L7" s="196"/>
      <c r="M7" s="196"/>
    </row>
    <row r="8" spans="1:13" s="197" customFormat="1" ht="18.600000000000001" customHeight="1">
      <c r="B8" s="198" t="s">
        <v>4</v>
      </c>
      <c r="C8" s="199" t="s">
        <v>5</v>
      </c>
      <c r="D8" s="200" t="s">
        <v>242</v>
      </c>
      <c r="E8" s="200" t="s">
        <v>243</v>
      </c>
      <c r="F8" s="201"/>
      <c r="G8" s="201"/>
      <c r="H8" s="201"/>
    </row>
    <row r="9" spans="1:13" s="197" customFormat="1" ht="26.1" customHeight="1">
      <c r="B9" s="202">
        <v>1</v>
      </c>
      <c r="C9" s="203" t="s">
        <v>244</v>
      </c>
      <c r="F9" s="204"/>
      <c r="G9" s="201"/>
      <c r="H9" s="201"/>
    </row>
    <row r="10" spans="1:13" s="197" customFormat="1" ht="26.1" customHeight="1">
      <c r="B10" s="205">
        <v>2</v>
      </c>
      <c r="C10" s="206" t="s">
        <v>245</v>
      </c>
      <c r="D10"/>
      <c r="E10" s="207"/>
      <c r="F10" s="201"/>
      <c r="G10" s="201"/>
      <c r="H10" s="201"/>
    </row>
    <row r="11" spans="1:13" s="197" customFormat="1" ht="26.1" customHeight="1">
      <c r="B11" s="205">
        <v>3</v>
      </c>
      <c r="C11" s="206" t="s">
        <v>246</v>
      </c>
      <c r="F11" s="201"/>
      <c r="G11" s="201"/>
      <c r="H11" s="201"/>
    </row>
    <row r="12" spans="1:13" s="197" customFormat="1" ht="24.95">
      <c r="B12" s="205">
        <v>4</v>
      </c>
      <c r="C12" s="206" t="s">
        <v>247</v>
      </c>
      <c r="D12" s="208">
        <f>SUMIF(K20:K33,E12,D20:D33)</f>
        <v>227163</v>
      </c>
      <c r="E12" s="209" t="s">
        <v>270</v>
      </c>
      <c r="F12" s="201"/>
      <c r="G12" s="201"/>
      <c r="H12" s="201"/>
    </row>
    <row r="13" spans="1:13" s="197" customFormat="1" ht="37.5">
      <c r="B13" s="205">
        <v>5</v>
      </c>
      <c r="C13" s="206" t="s">
        <v>248</v>
      </c>
      <c r="D13" s="208">
        <f>SUMIF(K21:K34,E13,D21:D34)</f>
        <v>95276</v>
      </c>
      <c r="E13" s="210" t="s">
        <v>271</v>
      </c>
      <c r="F13" s="201"/>
      <c r="G13" s="201"/>
      <c r="H13" s="201"/>
    </row>
    <row r="14" spans="1:13" s="197" customFormat="1" ht="24.95">
      <c r="B14" s="211">
        <v>6</v>
      </c>
      <c r="C14" s="212" t="s">
        <v>249</v>
      </c>
      <c r="D14" s="213">
        <f>MAX(K20:K33)</f>
        <v>24.6</v>
      </c>
      <c r="F14" s="201"/>
      <c r="G14" s="201"/>
      <c r="H14" s="201"/>
    </row>
    <row r="15" spans="1:13">
      <c r="C15" s="214"/>
    </row>
    <row r="16" spans="1:13" s="192" customFormat="1">
      <c r="A16" s="191">
        <v>2</v>
      </c>
      <c r="B16" s="192" t="s">
        <v>70</v>
      </c>
      <c r="D16" s="193"/>
      <c r="E16" s="193"/>
      <c r="F16" s="193"/>
      <c r="G16" s="193"/>
      <c r="H16" s="193"/>
    </row>
    <row r="18" spans="3:11">
      <c r="D18" s="176"/>
      <c r="E18" s="237" t="s">
        <v>250</v>
      </c>
      <c r="F18" s="237"/>
      <c r="G18" s="237"/>
      <c r="H18" s="237"/>
      <c r="I18" s="238"/>
      <c r="J18" s="235" t="s">
        <v>251</v>
      </c>
      <c r="K18" s="236"/>
    </row>
    <row r="19" spans="3:11" s="197" customFormat="1" ht="29.45" customHeight="1">
      <c r="C19" s="215" t="s">
        <v>22</v>
      </c>
      <c r="D19" s="215" t="s">
        <v>23</v>
      </c>
      <c r="E19" s="216" t="s">
        <v>252</v>
      </c>
      <c r="F19" s="216" t="s">
        <v>253</v>
      </c>
      <c r="G19" s="216" t="s">
        <v>254</v>
      </c>
      <c r="H19" s="216" t="s">
        <v>255</v>
      </c>
      <c r="I19" s="217" t="s">
        <v>256</v>
      </c>
      <c r="J19" s="218" t="s">
        <v>257</v>
      </c>
      <c r="K19" s="218" t="s">
        <v>258</v>
      </c>
    </row>
    <row r="20" spans="3:11" s="197" customFormat="1" ht="13.5">
      <c r="C20" s="219" t="s">
        <v>31</v>
      </c>
      <c r="D20" s="220">
        <v>132840</v>
      </c>
      <c r="E20" s="221">
        <v>20.995200000000004</v>
      </c>
      <c r="F20" s="221">
        <v>11.664000000000001</v>
      </c>
      <c r="G20" s="221">
        <v>6.48</v>
      </c>
      <c r="H20" s="221">
        <v>12.3</v>
      </c>
      <c r="I20" s="222">
        <f t="shared" ref="I20:I33" si="0">MIN(E20:H20)</f>
        <v>6.48</v>
      </c>
      <c r="J20" s="223">
        <f>MIN(F20:H20)</f>
        <v>6.48</v>
      </c>
      <c r="K20" s="223">
        <f>J20-I20</f>
        <v>0</v>
      </c>
    </row>
    <row r="21" spans="3:11" s="197" customFormat="1" ht="13.5">
      <c r="C21" s="219" t="s">
        <v>35</v>
      </c>
      <c r="D21" s="224">
        <v>131887</v>
      </c>
      <c r="E21" s="221">
        <v>10.4</v>
      </c>
      <c r="F21" s="221">
        <v>17.600000000000001</v>
      </c>
      <c r="G21" s="221">
        <v>25.3</v>
      </c>
      <c r="H21" s="221">
        <v>30.36</v>
      </c>
      <c r="I21" s="222">
        <f t="shared" si="0"/>
        <v>10.4</v>
      </c>
      <c r="J21" s="223">
        <f t="shared" ref="J21:J33" si="1">MIN(F21:H21)</f>
        <v>17.600000000000001</v>
      </c>
      <c r="K21" s="223">
        <f t="shared" ref="K21:K33" si="2">J21-I21</f>
        <v>7.2000000000000011</v>
      </c>
    </row>
    <row r="22" spans="3:11" s="197" customFormat="1" ht="13.5">
      <c r="C22" s="219" t="s">
        <v>37</v>
      </c>
      <c r="D22" s="224">
        <v>131850</v>
      </c>
      <c r="E22" s="221">
        <v>21.7</v>
      </c>
      <c r="F22" s="221">
        <v>7.9</v>
      </c>
      <c r="G22" s="221">
        <v>23</v>
      </c>
      <c r="H22" s="221">
        <v>11</v>
      </c>
      <c r="I22" s="222">
        <f t="shared" si="0"/>
        <v>7.9</v>
      </c>
      <c r="J22" s="223">
        <f t="shared" si="1"/>
        <v>7.9</v>
      </c>
      <c r="K22" s="223">
        <f t="shared" si="2"/>
        <v>0</v>
      </c>
    </row>
    <row r="23" spans="3:11" s="197" customFormat="1" ht="13.5">
      <c r="C23" s="219" t="s">
        <v>32</v>
      </c>
      <c r="D23" s="224">
        <v>128630</v>
      </c>
      <c r="E23" s="221">
        <v>26.3</v>
      </c>
      <c r="F23" s="221">
        <v>9.4</v>
      </c>
      <c r="G23" s="221">
        <v>22.8</v>
      </c>
      <c r="H23" s="221">
        <v>32.200000000000003</v>
      </c>
      <c r="I23" s="222">
        <f t="shared" si="0"/>
        <v>9.4</v>
      </c>
      <c r="J23" s="223">
        <f t="shared" si="1"/>
        <v>9.4</v>
      </c>
      <c r="K23" s="223">
        <f t="shared" si="2"/>
        <v>0</v>
      </c>
    </row>
    <row r="24" spans="3:11" s="197" customFormat="1" ht="13.5">
      <c r="C24" s="219" t="s">
        <v>41</v>
      </c>
      <c r="D24" s="224">
        <v>89440</v>
      </c>
      <c r="E24" s="221">
        <v>24</v>
      </c>
      <c r="F24" s="221">
        <v>21.5</v>
      </c>
      <c r="G24" s="221">
        <v>23.7</v>
      </c>
      <c r="H24" s="221">
        <v>18.399999999999999</v>
      </c>
      <c r="I24" s="222">
        <f t="shared" si="0"/>
        <v>18.399999999999999</v>
      </c>
      <c r="J24" s="223">
        <f t="shared" si="1"/>
        <v>18.399999999999999</v>
      </c>
      <c r="K24" s="223">
        <f t="shared" si="2"/>
        <v>0</v>
      </c>
    </row>
    <row r="25" spans="3:11" s="197" customFormat="1" ht="13.5">
      <c r="C25" s="219" t="s">
        <v>36</v>
      </c>
      <c r="D25" s="224">
        <v>86593</v>
      </c>
      <c r="E25" s="221">
        <v>18.7</v>
      </c>
      <c r="F25" s="221">
        <v>8.1999999999999993</v>
      </c>
      <c r="G25" s="221">
        <v>34.6</v>
      </c>
      <c r="H25" s="221">
        <v>11.7</v>
      </c>
      <c r="I25" s="222">
        <f t="shared" si="0"/>
        <v>8.1999999999999993</v>
      </c>
      <c r="J25" s="223">
        <f t="shared" si="1"/>
        <v>8.1999999999999993</v>
      </c>
      <c r="K25" s="223">
        <f t="shared" si="2"/>
        <v>0</v>
      </c>
    </row>
    <row r="26" spans="3:11" s="197" customFormat="1" ht="13.5">
      <c r="C26" s="219" t="s">
        <v>30</v>
      </c>
      <c r="D26" s="224">
        <v>61583</v>
      </c>
      <c r="E26" s="221">
        <v>23.4</v>
      </c>
      <c r="F26" s="221">
        <v>11.7</v>
      </c>
      <c r="G26" s="221">
        <v>12.9</v>
      </c>
      <c r="H26" s="221">
        <v>29.7</v>
      </c>
      <c r="I26" s="222">
        <f t="shared" si="0"/>
        <v>11.7</v>
      </c>
      <c r="J26" s="223">
        <f t="shared" si="1"/>
        <v>11.7</v>
      </c>
      <c r="K26" s="223">
        <f t="shared" si="2"/>
        <v>0</v>
      </c>
    </row>
    <row r="27" spans="3:11" s="197" customFormat="1" ht="13.5">
      <c r="C27" s="219" t="s">
        <v>29</v>
      </c>
      <c r="D27" s="224">
        <v>53273</v>
      </c>
      <c r="E27" s="221">
        <v>21.2</v>
      </c>
      <c r="F27" s="221">
        <v>9.9</v>
      </c>
      <c r="G27" s="221">
        <v>19.3</v>
      </c>
      <c r="H27" s="221">
        <v>32.700000000000003</v>
      </c>
      <c r="I27" s="222">
        <f t="shared" si="0"/>
        <v>9.9</v>
      </c>
      <c r="J27" s="223">
        <f t="shared" si="1"/>
        <v>9.9</v>
      </c>
      <c r="K27" s="223">
        <f t="shared" si="2"/>
        <v>0</v>
      </c>
    </row>
    <row r="28" spans="3:11" s="197" customFormat="1" ht="13.5">
      <c r="C28" s="219" t="s">
        <v>42</v>
      </c>
      <c r="D28" s="224">
        <v>52483</v>
      </c>
      <c r="E28" s="221">
        <v>4.5999999999999996</v>
      </c>
      <c r="F28" s="221">
        <v>38.24</v>
      </c>
      <c r="G28" s="221">
        <v>29.2</v>
      </c>
      <c r="H28" s="221">
        <v>34.299999999999997</v>
      </c>
      <c r="I28" s="222">
        <f t="shared" si="0"/>
        <v>4.5999999999999996</v>
      </c>
      <c r="J28" s="223">
        <f t="shared" si="1"/>
        <v>29.2</v>
      </c>
      <c r="K28" s="223">
        <f t="shared" si="2"/>
        <v>24.6</v>
      </c>
    </row>
    <row r="29" spans="3:11" s="197" customFormat="1" ht="13.5">
      <c r="C29" s="219" t="s">
        <v>34</v>
      </c>
      <c r="D29" s="224">
        <v>45853</v>
      </c>
      <c r="E29" s="221">
        <v>38.4</v>
      </c>
      <c r="F29" s="221">
        <v>21.1</v>
      </c>
      <c r="G29" s="221">
        <v>5.4</v>
      </c>
      <c r="H29" s="221">
        <v>27.3</v>
      </c>
      <c r="I29" s="222">
        <f t="shared" si="0"/>
        <v>5.4</v>
      </c>
      <c r="J29" s="223">
        <f t="shared" si="1"/>
        <v>5.4</v>
      </c>
      <c r="K29" s="223">
        <f t="shared" si="2"/>
        <v>0</v>
      </c>
    </row>
    <row r="30" spans="3:11" s="197" customFormat="1" ht="13.5">
      <c r="C30" s="219" t="s">
        <v>38</v>
      </c>
      <c r="D30" s="224">
        <v>44303</v>
      </c>
      <c r="E30" s="221">
        <v>22.2</v>
      </c>
      <c r="F30" s="221">
        <v>28.9</v>
      </c>
      <c r="G30" s="221">
        <v>17.899999999999999</v>
      </c>
      <c r="H30" s="221">
        <v>31.9</v>
      </c>
      <c r="I30" s="222">
        <f t="shared" si="0"/>
        <v>17.899999999999999</v>
      </c>
      <c r="J30" s="223">
        <f t="shared" si="1"/>
        <v>17.899999999999999</v>
      </c>
      <c r="K30" s="223">
        <f t="shared" si="2"/>
        <v>0</v>
      </c>
    </row>
    <row r="31" spans="3:11" s="197" customFormat="1" ht="13.5">
      <c r="C31" s="219" t="s">
        <v>39</v>
      </c>
      <c r="D31" s="224">
        <v>42793</v>
      </c>
      <c r="E31" s="221">
        <v>6.5</v>
      </c>
      <c r="F31" s="221">
        <v>25.9</v>
      </c>
      <c r="G31" s="221">
        <v>21.2</v>
      </c>
      <c r="H31" s="221">
        <v>23.2</v>
      </c>
      <c r="I31" s="222">
        <f t="shared" si="0"/>
        <v>6.5</v>
      </c>
      <c r="J31" s="223">
        <f t="shared" si="1"/>
        <v>21.2</v>
      </c>
      <c r="K31" s="223">
        <f t="shared" si="2"/>
        <v>14.7</v>
      </c>
    </row>
    <row r="32" spans="3:11" s="197" customFormat="1" ht="13.5">
      <c r="C32" s="219" t="s">
        <v>33</v>
      </c>
      <c r="D32" s="224">
        <v>38597</v>
      </c>
      <c r="E32" s="221">
        <v>39.200000000000003</v>
      </c>
      <c r="F32" s="221">
        <v>42.4</v>
      </c>
      <c r="G32" s="221">
        <v>12.2</v>
      </c>
      <c r="H32" s="221">
        <v>37.299999999999997</v>
      </c>
      <c r="I32" s="222">
        <f t="shared" si="0"/>
        <v>12.2</v>
      </c>
      <c r="J32" s="223">
        <f t="shared" si="1"/>
        <v>12.2</v>
      </c>
      <c r="K32" s="223">
        <f t="shared" si="2"/>
        <v>0</v>
      </c>
    </row>
    <row r="33" spans="1:11" s="197" customFormat="1" ht="13.5">
      <c r="C33" s="219" t="s">
        <v>40</v>
      </c>
      <c r="D33" s="224">
        <v>36850</v>
      </c>
      <c r="E33" s="221">
        <v>21.4</v>
      </c>
      <c r="F33" s="221">
        <v>21</v>
      </c>
      <c r="G33" s="221">
        <v>33.700000000000003</v>
      </c>
      <c r="H33" s="221">
        <v>13.4</v>
      </c>
      <c r="I33" s="222">
        <f t="shared" si="0"/>
        <v>13.4</v>
      </c>
      <c r="J33" s="223">
        <f t="shared" si="1"/>
        <v>13.4</v>
      </c>
      <c r="K33" s="223">
        <f t="shared" si="2"/>
        <v>0</v>
      </c>
    </row>
    <row r="34" spans="1:11" s="197" customFormat="1" ht="13.5">
      <c r="C34" s="225"/>
      <c r="D34" s="226"/>
      <c r="E34" s="227"/>
      <c r="F34" s="227"/>
      <c r="G34" s="227"/>
      <c r="H34" s="227"/>
    </row>
    <row r="35" spans="1:11" s="192" customFormat="1">
      <c r="A35" s="191" t="s">
        <v>43</v>
      </c>
      <c r="B35" s="192" t="s">
        <v>44</v>
      </c>
      <c r="D35" s="193"/>
      <c r="E35" s="193"/>
      <c r="F35" s="193"/>
      <c r="G35" s="193"/>
      <c r="H35" s="193"/>
    </row>
  </sheetData>
  <mergeCells count="2">
    <mergeCell ref="E18:I18"/>
    <mergeCell ref="J18:K18"/>
  </mergeCells>
  <conditionalFormatting sqref="D12:D14">
    <cfRule type="cellIs" dxfId="24" priority="4" operator="equal">
      <formula>#REF!</formula>
    </cfRule>
  </conditionalFormatting>
  <conditionalFormatting sqref="D14">
    <cfRule type="cellIs" dxfId="23" priority="5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BFDAA90946A944BD445422C20A1B37" ma:contentTypeVersion="10" ma:contentTypeDescription="Create a new document." ma:contentTypeScope="" ma:versionID="0a402267961954224bffc34d67d23a85">
  <xsd:schema xmlns:xsd="http://www.w3.org/2001/XMLSchema" xmlns:xs="http://www.w3.org/2001/XMLSchema" xmlns:p="http://schemas.microsoft.com/office/2006/metadata/properties" xmlns:ns2="0ef8e94a-240b-4134-8937-e65d42f3737a" xmlns:ns3="5ff50e5a-0425-4f04-ac15-753400f85414" targetNamespace="http://schemas.microsoft.com/office/2006/metadata/properties" ma:root="true" ma:fieldsID="f2f924d73d1ee0239a80040eb3f0393f" ns2:_="" ns3:_="">
    <xsd:import namespace="0ef8e94a-240b-4134-8937-e65d42f3737a"/>
    <xsd:import namespace="5ff50e5a-0425-4f04-ac15-753400f854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f8e94a-240b-4134-8937-e65d42f37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50e5a-0425-4f04-ac15-753400f854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801276-AE6E-4184-B747-29F7511F0177}"/>
</file>

<file path=customXml/itemProps2.xml><?xml version="1.0" encoding="utf-8"?>
<ds:datastoreItem xmlns:ds="http://schemas.openxmlformats.org/officeDocument/2006/customXml" ds:itemID="{32481E63-7D05-468B-B228-BC16BEFDB82A}"/>
</file>

<file path=customXml/itemProps3.xml><?xml version="1.0" encoding="utf-8"?>
<ds:datastoreItem xmlns:ds="http://schemas.openxmlformats.org/officeDocument/2006/customXml" ds:itemID="{DB20AC56-1C1B-4B8D-98D5-6EC82D96C0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The PSC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Posy Putnam</dc:creator>
  <cp:keywords/>
  <dc:description/>
  <cp:lastModifiedBy>Joseph Norbury</cp:lastModifiedBy>
  <cp:revision/>
  <dcterms:created xsi:type="dcterms:W3CDTF">2013-08-07T16:05:39Z</dcterms:created>
  <dcterms:modified xsi:type="dcterms:W3CDTF">2025-12-19T12:40:21Z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0x010100E5BFDAA90946A944BD445422C20A1B37</vt:lpwstr>
  </property>
  <property fmtid="{D5CDD505-2E9C-101B-9397-08002B2CF9AE}" pid="3" name="MediaServiceImageTags">
    <vt:lpwstr/>
  </property>
</Properties>
</file>